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roenigk\"/>
    </mc:Choice>
  </mc:AlternateContent>
  <bookViews>
    <workbookView xWindow="480" yWindow="120" windowWidth="9075" windowHeight="5760" tabRatio="763" firstSheet="26" activeTab="26"/>
  </bookViews>
  <sheets>
    <sheet name="Keyboard Shortcuts 2 (PC)" sheetId="76" r:id="rId1"/>
    <sheet name="KeyboardShortcuts (Mac)" sheetId="96" r:id="rId2"/>
    <sheet name="Keyboard Exercise 1" sheetId="21" r:id="rId3"/>
    <sheet name="Keyboard Exercise 2" sheetId="1" r:id="rId4"/>
    <sheet name="Keyboard Exercise 3" sheetId="12" r:id="rId5"/>
    <sheet name="Keyboard Exercise 4" sheetId="13" r:id="rId6"/>
    <sheet name="Keyboard Exercise 5" sheetId="15" r:id="rId7"/>
    <sheet name="BASIC FORMULAS" sheetId="97" r:id="rId8"/>
    <sheet name="Absolute vs Relative References" sheetId="84" r:id="rId9"/>
    <sheet name="Validation" sheetId="110" r:id="rId10"/>
    <sheet name="Auditing" sheetId="111" r:id="rId11"/>
    <sheet name="FUNCTION EXAMPLES" sheetId="98" r:id="rId12"/>
    <sheet name="Date and Time Basics" sheetId="78" r:id="rId13"/>
    <sheet name="Functions 1" sheetId="79" r:id="rId14"/>
    <sheet name="Functions 2" sheetId="81" r:id="rId15"/>
    <sheet name="Text Functions 1" sheetId="28" r:id="rId16"/>
    <sheet name="Text Functions 2" sheetId="80" r:id="rId17"/>
    <sheet name="Text Function Exercises 1" sheetId="22" r:id="rId18"/>
    <sheet name="Text Function Exercises 2" sheetId="27" r:id="rId19"/>
    <sheet name="Vlookup 1" sheetId="35" r:id="rId20"/>
    <sheet name="Vlookup Exercises 1" sheetId="33" r:id="rId21"/>
    <sheet name="Vlookup Exercises 2" sheetId="24" r:id="rId22"/>
    <sheet name="Vlookup Exercises 3" sheetId="34" r:id="rId23"/>
    <sheet name="Information" sheetId="99" r:id="rId24"/>
    <sheet name="Database" sheetId="100" r:id="rId25"/>
    <sheet name="Data Filters" sheetId="38" r:id="rId26"/>
    <sheet name="Data Filters Exercises 2" sheetId="40" r:id="rId27"/>
    <sheet name="Overview" sheetId="107" r:id="rId28"/>
    <sheet name="Database (2)" sheetId="108" r:id="rId29"/>
    <sheet name="Formatting" sheetId="101" r:id="rId30"/>
    <sheet name="Conditional Format" sheetId="73" r:id="rId31"/>
    <sheet name="CondFormat Example 1" sheetId="70" r:id="rId32"/>
    <sheet name="CondFormat Example 2" sheetId="62" r:id="rId33"/>
    <sheet name="CondFormat Example 4" sheetId="61" r:id="rId34"/>
    <sheet name="CondFormat Exercise 1" sheetId="74" r:id="rId35"/>
    <sheet name="DISTORTIONS" sheetId="103" r:id="rId36"/>
    <sheet name="Waterfall" sheetId="105" r:id="rId37"/>
    <sheet name="Sheet1" sheetId="106" r:id="rId38"/>
    <sheet name="Charts Without Graphs" sheetId="104" r:id="rId39"/>
    <sheet name="In-cell graphics" sheetId="57" r:id="rId40"/>
    <sheet name="Chart Exercises 1" sheetId="91" r:id="rId41"/>
    <sheet name="Charts Exercises 2" sheetId="92" r:id="rId42"/>
    <sheet name="Charts Exercises 3" sheetId="93" r:id="rId43"/>
    <sheet name="Charts Exercises 4" sheetId="94" r:id="rId44"/>
    <sheet name="Diagram" sheetId="109" r:id="rId45"/>
  </sheets>
  <externalReferences>
    <externalReference r:id="rId46"/>
    <externalReference r:id="rId47"/>
  </externalReferences>
  <definedNames>
    <definedName name="_xlnm._FilterDatabase" localSheetId="31" hidden="1">'CondFormat Example 1'!$B$3:$C$34</definedName>
    <definedName name="_xlnm._FilterDatabase" localSheetId="32" hidden="1">'CondFormat Example 2'!$B$10:$G$41</definedName>
    <definedName name="_xlnm._FilterDatabase" localSheetId="25" hidden="1">'Data Filters'!$G$12:$I$18</definedName>
    <definedName name="_xlnm._FilterDatabase" localSheetId="26" hidden="1">'Data Filters Exercises 2'!$B$16:$F$381</definedName>
    <definedName name="_xlnm._FilterDatabase" localSheetId="24" hidden="1">Database!$A$1:$E$45</definedName>
    <definedName name="_xlnm._FilterDatabase" localSheetId="28" hidden="1">'Database (2)'!$A$1:$G$1114</definedName>
    <definedName name="_xlnm._FilterDatabase" localSheetId="0" hidden="1">'Keyboard Shortcuts 2 (PC)'!#REF!</definedName>
    <definedName name="_xlnm.Criteria" localSheetId="28">'Database (2)'!#REF!</definedName>
    <definedName name="dyn_budget">OFFSET('[1]Dynamic Ranges and Charts'!$B$5,1,2,COUNTA('[1]Dynamic Ranges and Charts'!$B$6:$B$17),1)</definedName>
    <definedName name="dyn_lastn_dates" localSheetId="43">OFFSET('[1]Dynamic Ranges and Charts'!$B$29,COUNTA('[1]Dynamic Ranges and Charts'!$B$29:$B$213)-n,0,n,1)</definedName>
    <definedName name="dyn_lastn_dates">OFFSET('[1]Dynamic Ranges and Charts'!$B$29,COUNTA('[1]Dynamic Ranges and Charts'!$B$29:$B$213)-n,0,n,1)</definedName>
    <definedName name="dyn_lastn_values" localSheetId="43">OFFSET('[1]Dynamic Ranges and Charts'!$B$29,COUNTA('[1]Dynamic Ranges and Charts'!$B$29:$B$213)-n,1,n,1)</definedName>
    <definedName name="dyn_lastn_values">OFFSET('[1]Dynamic Ranges and Charts'!$B$29,COUNTA('[1]Dynamic Ranges and Charts'!$B$29:$B$213)-n,1,n,1)</definedName>
    <definedName name="dyn_range">OFFSET('[1]Dynamic Ranges'!$B$5,0,0,COUNTA(!$B$5:$B$100),3)</definedName>
    <definedName name="dyn_salary">OFFSET('[1]Dynamic Ranges and Charts'!$B$5,1,1,COUNTA('[1]Dynamic Ranges and Charts'!$B$6:$B$17),1)</definedName>
    <definedName name="n">'[1]Dynamic Ranges and Charts'!$D$30</definedName>
    <definedName name="name">#REF!</definedName>
    <definedName name="pcts">OFFSET('[2]Pct Increment'!#REF!,'[2]Pct Increment'!$A$16-1,0,1,6)</definedName>
    <definedName name="_xlnm.Print_Area" localSheetId="11">'FUNCTION EXAMPLES'!$A$1:$D$122</definedName>
    <definedName name="_xlnm.Print_Area" localSheetId="15">'Text Functions 1'!$A$4:$D$40</definedName>
    <definedName name="_xlnm.Print_Titles" localSheetId="11">'FUNCTION EXAMPLES'!$A$1:$IV$3</definedName>
    <definedName name="Revenue">OFFSET(#REF!,#REF!-1,0,1,7)</definedName>
    <definedName name="section2" localSheetId="12">'Date and Time Basics'!$B$17</definedName>
    <definedName name="section3" localSheetId="12">'Date and Time Basics'!$B$29</definedName>
  </definedNames>
  <calcPr calcId="162913"/>
</workbook>
</file>

<file path=xl/calcChain.xml><?xml version="1.0" encoding="utf-8"?>
<calcChain xmlns="http://schemas.openxmlformats.org/spreadsheetml/2006/main">
  <c r="G1778" i="108" l="1"/>
  <c r="G1741" i="108"/>
  <c r="G1750" i="108"/>
  <c r="G1743" i="108"/>
  <c r="G1708" i="108"/>
  <c r="G1713" i="108"/>
  <c r="G1716" i="108"/>
  <c r="G1711" i="108"/>
  <c r="G1676" i="108"/>
  <c r="G1668" i="108"/>
  <c r="G1669" i="108"/>
  <c r="G1642" i="108"/>
  <c r="G1641" i="108"/>
  <c r="G1640" i="108"/>
  <c r="G1637" i="108"/>
  <c r="G1632" i="108"/>
  <c r="G1600" i="108"/>
  <c r="G1590" i="108"/>
  <c r="G1551" i="108"/>
  <c r="G1539" i="108"/>
  <c r="G1538" i="108"/>
  <c r="G1519" i="108"/>
  <c r="G1513" i="108"/>
  <c r="G1475" i="108"/>
  <c r="G1460" i="108"/>
  <c r="G1429" i="108"/>
  <c r="G1426" i="108"/>
  <c r="G1391" i="108"/>
  <c r="G1388" i="108"/>
  <c r="G1387" i="108"/>
  <c r="G1362" i="108"/>
  <c r="G1329" i="108"/>
  <c r="G1327" i="108"/>
  <c r="G1295" i="108"/>
  <c r="G1292" i="108"/>
  <c r="G1280" i="108"/>
  <c r="G1250" i="108"/>
  <c r="G1205" i="108"/>
  <c r="G1206" i="108"/>
  <c r="G1201" i="108"/>
  <c r="G1174" i="108"/>
  <c r="G1165" i="108"/>
  <c r="G1173" i="108"/>
  <c r="G1163" i="108"/>
  <c r="G1124" i="108"/>
  <c r="G1127" i="108"/>
  <c r="G1091" i="108"/>
  <c r="G1093" i="108"/>
  <c r="G1062" i="108"/>
  <c r="G1061" i="108"/>
  <c r="G1020" i="108"/>
  <c r="G1019" i="108"/>
  <c r="G1011" i="108"/>
  <c r="G1013" i="108"/>
  <c r="G1009" i="108"/>
  <c r="G969" i="108"/>
  <c r="G974" i="108"/>
  <c r="G972" i="108"/>
  <c r="G912" i="108"/>
  <c r="G911" i="108"/>
  <c r="G910" i="108"/>
  <c r="G909" i="108"/>
  <c r="G908" i="108"/>
  <c r="G899" i="108"/>
  <c r="G867" i="108"/>
  <c r="G857" i="108"/>
  <c r="G859" i="108"/>
  <c r="G814" i="108"/>
  <c r="G806" i="108"/>
  <c r="G807" i="108"/>
  <c r="G769" i="108"/>
  <c r="G768" i="108"/>
  <c r="G767" i="108"/>
  <c r="G728" i="108"/>
  <c r="G727" i="108"/>
  <c r="G725" i="108"/>
  <c r="G683" i="108"/>
  <c r="G689" i="108"/>
  <c r="G688" i="108"/>
  <c r="G687" i="108"/>
  <c r="G682" i="108"/>
  <c r="G631" i="108"/>
  <c r="G635" i="108"/>
  <c r="G600" i="108"/>
  <c r="G582" i="108"/>
  <c r="G586" i="108"/>
  <c r="G581" i="108"/>
  <c r="G553" i="108"/>
  <c r="G552" i="108"/>
  <c r="G546" i="108"/>
  <c r="G543" i="108"/>
  <c r="G515" i="108"/>
  <c r="G509" i="108"/>
  <c r="G508" i="108"/>
  <c r="G513" i="108"/>
  <c r="G416" i="108"/>
  <c r="G415" i="108"/>
  <c r="G414" i="108"/>
  <c r="G418" i="108"/>
  <c r="G413" i="108"/>
  <c r="G385" i="108"/>
  <c r="G375" i="108"/>
  <c r="G376" i="108"/>
  <c r="G369" i="108"/>
  <c r="G337" i="108"/>
  <c r="G336" i="108"/>
  <c r="G339" i="108"/>
  <c r="G338" i="108"/>
  <c r="G287" i="108"/>
  <c r="G267" i="108"/>
  <c r="G254" i="108"/>
  <c r="G265" i="108"/>
  <c r="G264" i="108"/>
  <c r="G222" i="108"/>
  <c r="G226" i="108"/>
  <c r="G224" i="108"/>
  <c r="G202" i="108"/>
  <c r="G201" i="108"/>
  <c r="G200" i="108"/>
  <c r="G194" i="108"/>
  <c r="G199" i="108"/>
  <c r="G180" i="108"/>
  <c r="G179" i="108"/>
  <c r="G166" i="108"/>
  <c r="G177" i="108"/>
  <c r="G168" i="108"/>
  <c r="G158" i="108"/>
  <c r="G147" i="108"/>
  <c r="G146" i="108"/>
  <c r="G145" i="108"/>
  <c r="G132" i="108"/>
  <c r="G115" i="108"/>
  <c r="G130" i="108"/>
  <c r="G110" i="108"/>
  <c r="G109" i="108"/>
  <c r="G108" i="108"/>
  <c r="G107" i="108"/>
  <c r="G93" i="108"/>
  <c r="G77" i="108"/>
  <c r="G72" i="108"/>
  <c r="G65" i="108"/>
  <c r="G59" i="108"/>
  <c r="G64" i="108"/>
  <c r="G63" i="108"/>
  <c r="G50" i="108"/>
  <c r="G49" i="108"/>
  <c r="G48" i="108"/>
  <c r="G51" i="108"/>
  <c r="G39" i="108"/>
  <c r="G43" i="108"/>
  <c r="G31" i="108"/>
  <c r="G28" i="108"/>
  <c r="G27" i="108"/>
  <c r="G25" i="108"/>
  <c r="G26" i="108"/>
  <c r="G19" i="108"/>
  <c r="G16" i="108"/>
  <c r="G1994" i="108"/>
  <c r="G1973" i="108"/>
  <c r="G1989" i="108"/>
  <c r="G1968" i="108"/>
  <c r="G1993" i="108"/>
  <c r="G1961" i="108"/>
  <c r="G1953" i="108"/>
  <c r="G1952" i="108"/>
  <c r="G1946" i="108"/>
  <c r="G1945" i="108"/>
  <c r="G1920" i="108"/>
  <c r="G1919" i="108"/>
  <c r="G1918" i="108"/>
  <c r="G1924" i="108"/>
  <c r="G1923" i="108"/>
  <c r="G1935" i="108"/>
  <c r="G1917" i="108"/>
  <c r="G1939" i="108"/>
  <c r="G1885" i="108"/>
  <c r="G1884" i="108"/>
  <c r="G1891" i="108"/>
  <c r="G1890" i="108"/>
  <c r="G1882" i="108"/>
  <c r="G1904" i="108"/>
  <c r="G1903" i="108"/>
  <c r="G1875" i="108"/>
  <c r="G1874" i="108"/>
  <c r="G1873" i="108"/>
  <c r="G1863" i="108"/>
  <c r="G1862" i="108"/>
  <c r="G1861" i="108"/>
  <c r="G1860" i="108"/>
  <c r="G1859" i="108"/>
  <c r="G1858" i="108"/>
  <c r="G1871" i="108"/>
  <c r="G1841" i="108"/>
  <c r="G1840" i="108"/>
  <c r="G1830" i="108"/>
  <c r="G1829" i="108"/>
  <c r="G1828" i="108"/>
  <c r="G1847" i="108"/>
  <c r="G1846" i="108"/>
  <c r="G1845" i="108"/>
  <c r="G1816" i="108"/>
  <c r="G1794" i="108"/>
  <c r="G1793" i="108"/>
  <c r="G1813" i="108"/>
  <c r="G1807" i="108"/>
  <c r="G1806" i="108"/>
  <c r="G1812" i="108"/>
  <c r="G1811" i="108"/>
  <c r="G1815" i="108"/>
  <c r="G1787" i="108"/>
  <c r="G1784" i="108"/>
  <c r="G1783" i="108"/>
  <c r="G1782" i="108"/>
  <c r="G1781" i="108"/>
  <c r="G1742" i="108"/>
  <c r="G1756" i="108"/>
  <c r="G1755" i="108"/>
  <c r="G1754" i="108"/>
  <c r="G1753" i="108"/>
  <c r="G1764" i="108"/>
  <c r="G1709" i="108"/>
  <c r="G1732" i="108"/>
  <c r="G1726" i="108"/>
  <c r="G1725" i="108"/>
  <c r="G1724" i="108"/>
  <c r="G1723" i="108"/>
  <c r="G1722" i="108"/>
  <c r="G1706" i="108"/>
  <c r="G1734" i="108"/>
  <c r="G1683" i="108"/>
  <c r="G1682" i="108"/>
  <c r="G1681" i="108"/>
  <c r="G1680" i="108"/>
  <c r="G1679" i="108"/>
  <c r="G1667" i="108"/>
  <c r="G1630" i="108"/>
  <c r="G1629" i="108"/>
  <c r="G1628" i="108"/>
  <c r="G1658" i="108"/>
  <c r="G1649" i="108"/>
  <c r="G1648" i="108"/>
  <c r="G1647" i="108"/>
  <c r="G1626" i="108"/>
  <c r="G1657" i="108"/>
  <c r="G1592" i="108"/>
  <c r="G1605" i="108"/>
  <c r="G1604" i="108"/>
  <c r="G1614" i="108"/>
  <c r="G1591" i="108"/>
  <c r="G1620" i="108"/>
  <c r="G1583" i="108"/>
  <c r="G1541" i="108"/>
  <c r="G1573" i="108"/>
  <c r="G1572" i="108"/>
  <c r="G1557" i="108"/>
  <c r="G1556" i="108"/>
  <c r="G1555" i="108"/>
  <c r="G1554" i="108"/>
  <c r="G1571" i="108"/>
  <c r="G1582" i="108"/>
  <c r="G1530" i="108"/>
  <c r="G1524" i="108"/>
  <c r="G1523" i="108"/>
  <c r="G1463" i="108"/>
  <c r="G1492" i="108"/>
  <c r="G1484" i="108"/>
  <c r="G1483" i="108"/>
  <c r="G1491" i="108"/>
  <c r="G1462" i="108"/>
  <c r="G1461" i="108"/>
  <c r="G1490" i="108"/>
  <c r="G1500" i="108"/>
  <c r="G1443" i="108"/>
  <c r="G1439" i="108"/>
  <c r="G1438" i="108"/>
  <c r="G1437" i="108"/>
  <c r="G1436" i="108"/>
  <c r="G1427" i="108"/>
  <c r="G1392" i="108"/>
  <c r="G1416" i="108"/>
  <c r="G1415" i="108"/>
  <c r="G1414" i="108"/>
  <c r="G1403" i="108"/>
  <c r="G1402" i="108"/>
  <c r="G1401" i="108"/>
  <c r="G1400" i="108"/>
  <c r="G1399" i="108"/>
  <c r="G1398" i="108"/>
  <c r="G1389" i="108"/>
  <c r="G1413" i="108"/>
  <c r="G1364" i="108"/>
  <c r="G1363" i="108"/>
  <c r="G1360" i="108"/>
  <c r="G1379" i="108"/>
  <c r="G1346" i="108"/>
  <c r="G1345" i="108"/>
  <c r="G1338" i="108"/>
  <c r="G1337" i="108"/>
  <c r="G1344" i="108"/>
  <c r="G1343" i="108"/>
  <c r="G1342" i="108"/>
  <c r="G1318" i="108"/>
  <c r="G1317" i="108"/>
  <c r="G1282" i="108"/>
  <c r="G1281" i="108"/>
  <c r="G1308" i="108"/>
  <c r="G1307" i="108"/>
  <c r="G1298" i="108"/>
  <c r="G1297" i="108"/>
  <c r="G1306" i="108"/>
  <c r="G1305" i="108"/>
  <c r="G1316" i="108"/>
  <c r="G1315" i="108"/>
  <c r="G1238" i="108"/>
  <c r="G1256" i="108"/>
  <c r="G1255" i="108"/>
  <c r="G1254" i="108"/>
  <c r="G1253" i="108"/>
  <c r="G1252" i="108"/>
  <c r="G1228" i="108"/>
  <c r="G1203" i="108"/>
  <c r="G1202" i="108"/>
  <c r="G1227" i="108"/>
  <c r="G1162" i="108"/>
  <c r="G1161" i="108"/>
  <c r="G1186" i="108"/>
  <c r="G1185" i="108"/>
  <c r="G1180" i="108"/>
  <c r="G1179" i="108"/>
  <c r="G1178" i="108"/>
  <c r="G1177" i="108"/>
  <c r="G1176" i="108"/>
  <c r="G1159" i="108"/>
  <c r="G1158" i="108"/>
  <c r="G1126" i="108"/>
  <c r="G1125" i="108"/>
  <c r="G1144" i="108"/>
  <c r="G1135" i="108"/>
  <c r="G1134" i="108"/>
  <c r="G1143" i="108"/>
  <c r="G1142" i="108"/>
  <c r="G1092" i="108"/>
  <c r="G1112" i="108"/>
  <c r="G1103" i="108"/>
  <c r="G1102" i="108"/>
  <c r="G1111" i="108"/>
  <c r="G1089" i="108"/>
  <c r="G1119" i="108"/>
  <c r="G1118" i="108"/>
  <c r="G1084" i="108"/>
  <c r="G1054" i="108"/>
  <c r="G1053" i="108"/>
  <c r="G1052" i="108"/>
  <c r="G1067" i="108"/>
  <c r="G1066" i="108"/>
  <c r="G1065" i="108"/>
  <c r="G1050" i="108"/>
  <c r="G1083" i="108"/>
  <c r="G1027" i="108"/>
  <c r="G1038" i="108"/>
  <c r="G1010" i="108"/>
  <c r="G1043" i="108"/>
  <c r="G1003" i="108"/>
  <c r="G971" i="108"/>
  <c r="G970" i="108"/>
  <c r="G996" i="108"/>
  <c r="G991" i="108"/>
  <c r="G990" i="108"/>
  <c r="G989" i="108"/>
  <c r="G988" i="108"/>
  <c r="G987" i="108"/>
  <c r="G995" i="108"/>
  <c r="G1002" i="108"/>
  <c r="G942" i="108"/>
  <c r="G941" i="108"/>
  <c r="G940" i="108"/>
  <c r="G950" i="108"/>
  <c r="G949" i="108"/>
  <c r="G948" i="108"/>
  <c r="G956" i="108"/>
  <c r="G955" i="108"/>
  <c r="G898" i="108"/>
  <c r="G897" i="108"/>
  <c r="G923" i="108"/>
  <c r="G915" i="108"/>
  <c r="G914" i="108"/>
  <c r="G922" i="108"/>
  <c r="G933" i="108"/>
  <c r="G858" i="108"/>
  <c r="G876" i="108"/>
  <c r="G875" i="108"/>
  <c r="G874" i="108"/>
  <c r="G873" i="108"/>
  <c r="G872" i="108"/>
  <c r="G881" i="108"/>
  <c r="G880" i="108"/>
  <c r="G834" i="108"/>
  <c r="G820" i="108"/>
  <c r="G819" i="108"/>
  <c r="G818" i="108"/>
  <c r="G805" i="108"/>
  <c r="G833" i="108"/>
  <c r="G832" i="108"/>
  <c r="G844" i="108"/>
  <c r="G797" i="108"/>
  <c r="G770" i="108"/>
  <c r="G788" i="108"/>
  <c r="G780" i="108"/>
  <c r="G779" i="108"/>
  <c r="G787" i="108"/>
  <c r="G796" i="108"/>
  <c r="G759" i="108"/>
  <c r="G754" i="108"/>
  <c r="G741" i="108"/>
  <c r="G740" i="108"/>
  <c r="G739" i="108"/>
  <c r="G722" i="108"/>
  <c r="G721" i="108"/>
  <c r="G753" i="108"/>
  <c r="G686" i="108"/>
  <c r="G685" i="108"/>
  <c r="G684" i="108"/>
  <c r="G706" i="108"/>
  <c r="G705" i="108"/>
  <c r="G704" i="108"/>
  <c r="G703" i="108"/>
  <c r="G702" i="108"/>
  <c r="G673" i="108"/>
  <c r="G672" i="108"/>
  <c r="G671" i="108"/>
  <c r="G632" i="108"/>
  <c r="G651" i="108"/>
  <c r="G667" i="108"/>
  <c r="G627" i="108"/>
  <c r="G585" i="108"/>
  <c r="G584" i="108"/>
  <c r="G583" i="108"/>
  <c r="G607" i="108"/>
  <c r="G606" i="108"/>
  <c r="G605" i="108"/>
  <c r="G604" i="108"/>
  <c r="G603" i="108"/>
  <c r="G620" i="108"/>
  <c r="G619" i="108"/>
  <c r="G626" i="108"/>
  <c r="G575" i="108"/>
  <c r="G545" i="108"/>
  <c r="G544" i="108"/>
  <c r="G560" i="108"/>
  <c r="G559" i="108"/>
  <c r="G558" i="108"/>
  <c r="G568" i="108"/>
  <c r="G537" i="108"/>
  <c r="G505" i="108"/>
  <c r="G504" i="108"/>
  <c r="G503" i="108"/>
  <c r="G533" i="108"/>
  <c r="G522" i="108"/>
  <c r="G521" i="108"/>
  <c r="G520" i="108"/>
  <c r="G502" i="108"/>
  <c r="G501" i="108"/>
  <c r="G532" i="108"/>
  <c r="G531" i="108"/>
  <c r="G467" i="108"/>
  <c r="G466" i="108"/>
  <c r="G482" i="108"/>
  <c r="G481" i="108"/>
  <c r="G480" i="108"/>
  <c r="G479" i="108"/>
  <c r="G485" i="108"/>
  <c r="G453" i="108"/>
  <c r="G452" i="108"/>
  <c r="G417" i="108"/>
  <c r="G444" i="108"/>
  <c r="G434" i="108"/>
  <c r="G433" i="108"/>
  <c r="G432" i="108"/>
  <c r="G431" i="108"/>
  <c r="G430" i="108"/>
  <c r="G429" i="108"/>
  <c r="G428" i="108"/>
  <c r="G451" i="108"/>
  <c r="G400" i="108"/>
  <c r="G391" i="108"/>
  <c r="G390" i="108"/>
  <c r="G389" i="108"/>
  <c r="G370" i="108"/>
  <c r="G399" i="108"/>
  <c r="G398" i="108"/>
  <c r="G361" i="108"/>
  <c r="G353" i="108"/>
  <c r="G352" i="108"/>
  <c r="G351" i="108"/>
  <c r="G350" i="108"/>
  <c r="G349" i="108"/>
  <c r="G348" i="108"/>
  <c r="G335" i="108"/>
  <c r="G365" i="108"/>
  <c r="G364" i="108"/>
  <c r="G286" i="108"/>
  <c r="G285" i="108"/>
  <c r="G317" i="108"/>
  <c r="G308" i="108"/>
  <c r="G307" i="108"/>
  <c r="G306" i="108"/>
  <c r="G305" i="108"/>
  <c r="G304" i="108"/>
  <c r="G303" i="108"/>
  <c r="G284" i="108"/>
  <c r="G316" i="108"/>
  <c r="G255" i="108"/>
  <c r="G271" i="108"/>
  <c r="G270" i="108"/>
  <c r="G269" i="108"/>
  <c r="G268" i="108"/>
  <c r="G253" i="108"/>
  <c r="G252" i="108"/>
  <c r="G275" i="108"/>
  <c r="G240" i="108"/>
  <c r="G221" i="108"/>
  <c r="G239" i="108"/>
  <c r="G238" i="108"/>
  <c r="G195" i="108"/>
  <c r="G203" i="108"/>
  <c r="G167" i="108"/>
  <c r="G182" i="108"/>
  <c r="G181" i="108"/>
  <c r="G1619" i="108"/>
  <c r="G1597" i="108"/>
  <c r="G1618" i="108"/>
  <c r="G1617" i="108"/>
  <c r="G1616" i="108"/>
  <c r="G1581" i="108"/>
  <c r="G1580" i="108"/>
  <c r="G1579" i="108"/>
  <c r="G1578" i="108"/>
  <c r="G1577" i="108"/>
  <c r="G1546" i="108"/>
  <c r="G1545" i="108"/>
  <c r="G1535" i="108"/>
  <c r="G1516" i="108"/>
  <c r="G1534" i="108"/>
  <c r="G1533" i="108"/>
  <c r="G1499" i="108"/>
  <c r="G1498" i="108"/>
  <c r="G1497" i="108"/>
  <c r="G1496" i="108"/>
  <c r="G1495" i="108"/>
  <c r="G1494" i="108"/>
  <c r="G1493" i="108"/>
  <c r="G1467" i="108"/>
  <c r="G1448" i="108"/>
  <c r="G1447" i="108"/>
  <c r="G1446" i="108"/>
  <c r="G1433" i="108"/>
  <c r="G1445" i="108"/>
  <c r="G1422" i="108"/>
  <c r="G1421" i="108"/>
  <c r="G1420" i="108"/>
  <c r="G1419" i="108"/>
  <c r="G1378" i="108"/>
  <c r="G1377" i="108"/>
  <c r="G1354" i="108"/>
  <c r="G1353" i="108"/>
  <c r="G1352" i="108"/>
  <c r="G1351" i="108"/>
  <c r="G1350" i="108"/>
  <c r="G1349" i="108"/>
  <c r="G1314" i="108"/>
  <c r="G1313" i="108"/>
  <c r="G1312" i="108"/>
  <c r="G1290" i="108"/>
  <c r="G1289" i="108"/>
  <c r="G1311" i="108"/>
  <c r="G1310" i="108"/>
  <c r="G1309" i="108"/>
  <c r="G1275" i="108"/>
  <c r="G1274" i="108"/>
  <c r="G1273" i="108"/>
  <c r="G1272" i="108"/>
  <c r="G1271" i="108"/>
  <c r="G1270" i="108"/>
  <c r="G1269" i="108"/>
  <c r="G1268" i="108"/>
  <c r="G1242" i="108"/>
  <c r="G1241" i="108"/>
  <c r="G1240" i="108"/>
  <c r="G1226" i="108"/>
  <c r="G1225" i="108"/>
  <c r="G1224" i="108"/>
  <c r="G1223" i="108"/>
  <c r="G1222" i="108"/>
  <c r="G1221" i="108"/>
  <c r="G1190" i="108"/>
  <c r="G1189" i="108"/>
  <c r="G1169" i="108"/>
  <c r="G1168" i="108"/>
  <c r="G1150" i="108"/>
  <c r="G1149" i="108"/>
  <c r="G1148" i="108"/>
  <c r="G1147" i="108"/>
  <c r="G1146" i="108"/>
  <c r="G1130" i="108"/>
  <c r="G1117" i="108"/>
  <c r="G1116" i="108"/>
  <c r="G1115" i="108"/>
  <c r="G1114" i="108"/>
  <c r="G1082" i="108"/>
  <c r="G1057" i="108"/>
  <c r="G1081" i="108"/>
  <c r="G1080" i="108"/>
  <c r="G1079" i="108"/>
  <c r="G1042" i="108"/>
  <c r="G1041" i="108"/>
  <c r="G1040" i="108"/>
  <c r="G1039" i="108"/>
  <c r="G1016" i="108"/>
  <c r="G1001" i="108"/>
  <c r="G1000" i="108"/>
  <c r="G999" i="108"/>
  <c r="G998" i="108"/>
  <c r="G997" i="108"/>
  <c r="G977" i="108"/>
  <c r="G976" i="108"/>
  <c r="G960" i="108"/>
  <c r="G959" i="108"/>
  <c r="G932" i="108"/>
  <c r="G931" i="108"/>
  <c r="G930" i="108"/>
  <c r="G929" i="108"/>
  <c r="G928" i="108"/>
  <c r="G903" i="108"/>
  <c r="G902" i="108"/>
  <c r="G886" i="108"/>
  <c r="G885" i="108"/>
  <c r="G884" i="108"/>
  <c r="G843" i="108"/>
  <c r="G842" i="108"/>
  <c r="G841" i="108"/>
  <c r="G840" i="108"/>
  <c r="G839" i="108"/>
  <c r="G838" i="108"/>
  <c r="G837" i="108"/>
  <c r="G836" i="108"/>
  <c r="G835" i="108"/>
  <c r="G795" i="108"/>
  <c r="G794" i="108"/>
  <c r="G793" i="108"/>
  <c r="G792" i="108"/>
  <c r="G791" i="108"/>
  <c r="G790" i="108"/>
  <c r="G789" i="108"/>
  <c r="G758" i="108"/>
  <c r="G757" i="108"/>
  <c r="G756" i="108"/>
  <c r="G712" i="108"/>
  <c r="G711" i="108"/>
  <c r="G710" i="108"/>
  <c r="G709" i="108"/>
  <c r="G696" i="108"/>
  <c r="G695" i="108"/>
  <c r="G694" i="108"/>
  <c r="G670" i="108"/>
  <c r="G669" i="108"/>
  <c r="G642" i="108"/>
  <c r="G625" i="108"/>
  <c r="G596" i="108"/>
  <c r="G624" i="108"/>
  <c r="G623" i="108"/>
  <c r="G622" i="108"/>
  <c r="G592" i="108"/>
  <c r="G574" i="108"/>
  <c r="G573" i="108"/>
  <c r="G572" i="108"/>
  <c r="G571" i="108"/>
  <c r="G570" i="108"/>
  <c r="G550" i="108"/>
  <c r="G536" i="108"/>
  <c r="G535" i="108"/>
  <c r="G534" i="108"/>
  <c r="G491" i="108"/>
  <c r="G490" i="108"/>
  <c r="G489" i="108"/>
  <c r="G488" i="108"/>
  <c r="G450" i="108"/>
  <c r="G449" i="108"/>
  <c r="G448" i="108"/>
  <c r="G447" i="108"/>
  <c r="G403" i="108"/>
  <c r="G402" i="108"/>
  <c r="G401" i="108"/>
  <c r="G363" i="108"/>
  <c r="G362" i="108"/>
  <c r="G342" i="108"/>
  <c r="G341" i="108"/>
  <c r="G340" i="108"/>
  <c r="G326" i="108"/>
  <c r="G325" i="108"/>
  <c r="G324" i="108"/>
  <c r="G323" i="108"/>
  <c r="G322" i="108"/>
  <c r="G321" i="108"/>
  <c r="G289" i="108"/>
  <c r="G277" i="108"/>
  <c r="G276" i="108"/>
  <c r="G260" i="108"/>
  <c r="G259" i="108"/>
  <c r="G258" i="108"/>
  <c r="G245" i="108"/>
  <c r="G244" i="108"/>
  <c r="G243" i="108"/>
  <c r="G242" i="108"/>
  <c r="G241" i="108"/>
  <c r="G214" i="108"/>
  <c r="G213" i="108"/>
  <c r="G212" i="108"/>
  <c r="G211" i="108"/>
  <c r="G210" i="108"/>
  <c r="G189" i="108"/>
  <c r="G188" i="108"/>
  <c r="G187" i="108"/>
  <c r="G186" i="108"/>
  <c r="G185" i="108"/>
  <c r="G184" i="108"/>
  <c r="G183" i="108"/>
  <c r="G174" i="108"/>
  <c r="G160" i="108"/>
  <c r="G159" i="108"/>
  <c r="G155" i="108"/>
  <c r="G135" i="108"/>
  <c r="G134" i="108"/>
  <c r="G133" i="108"/>
  <c r="G119" i="108"/>
  <c r="G118" i="108"/>
  <c r="G114" i="108"/>
  <c r="G113" i="108"/>
  <c r="G112" i="108"/>
  <c r="G111" i="108"/>
  <c r="G98" i="108"/>
  <c r="G97" i="108"/>
  <c r="G96" i="108"/>
  <c r="G95" i="108"/>
  <c r="G94" i="108"/>
  <c r="G88" i="108"/>
  <c r="G80" i="108"/>
  <c r="G79" i="108"/>
  <c r="G74" i="108"/>
  <c r="G73" i="108"/>
  <c r="G78" i="108"/>
  <c r="G70" i="108"/>
  <c r="G69" i="108"/>
  <c r="G68" i="108"/>
  <c r="G67" i="108"/>
  <c r="G66" i="108"/>
  <c r="G62" i="108"/>
  <c r="G56" i="108"/>
  <c r="G55" i="108"/>
  <c r="G47" i="108"/>
  <c r="G46" i="108"/>
  <c r="G45" i="108"/>
  <c r="G42" i="108"/>
  <c r="G41" i="108"/>
  <c r="G40" i="108"/>
  <c r="G38" i="108"/>
  <c r="G37" i="108"/>
  <c r="G36" i="108"/>
  <c r="G35" i="108"/>
  <c r="G34" i="108"/>
  <c r="G33" i="108"/>
  <c r="G32" i="108"/>
  <c r="G29" i="108"/>
  <c r="G24" i="108"/>
  <c r="G18" i="108"/>
  <c r="G23" i="108"/>
  <c r="G22" i="108"/>
  <c r="G21" i="108"/>
  <c r="G20" i="108"/>
  <c r="G17" i="108"/>
  <c r="G15" i="108"/>
  <c r="G14" i="108"/>
  <c r="G13" i="108"/>
  <c r="G12" i="108"/>
  <c r="G11" i="108"/>
  <c r="G10" i="108"/>
  <c r="G9" i="108"/>
  <c r="G8" i="108"/>
  <c r="G7" i="108"/>
  <c r="G6" i="108"/>
  <c r="G5" i="108"/>
  <c r="G4" i="108"/>
  <c r="G3" i="108"/>
  <c r="G2" i="108"/>
  <c r="G1825" i="108"/>
  <c r="G1823" i="108"/>
  <c r="G1796" i="108"/>
  <c r="G1795" i="108"/>
  <c r="G1792" i="108"/>
  <c r="G1780" i="108"/>
  <c r="G1776" i="108"/>
  <c r="G1775" i="108"/>
  <c r="G1745" i="108"/>
  <c r="G1744" i="108"/>
  <c r="G1749" i="108"/>
  <c r="G1740" i="108"/>
  <c r="G1739" i="108"/>
  <c r="G1717" i="108"/>
  <c r="G1712" i="108"/>
  <c r="G1715" i="108"/>
  <c r="G1705" i="108"/>
  <c r="G1675" i="108"/>
  <c r="G1635" i="108"/>
  <c r="G1639" i="108"/>
  <c r="G1638" i="108"/>
  <c r="G1634" i="108"/>
  <c r="G1633" i="108"/>
  <c r="G1625" i="108"/>
  <c r="G1624" i="108"/>
  <c r="G1594" i="108"/>
  <c r="G1593" i="108"/>
  <c r="G1599" i="108"/>
  <c r="G1598" i="108"/>
  <c r="G1542" i="108"/>
  <c r="G1550" i="108"/>
  <c r="G1549" i="108"/>
  <c r="G1518" i="108"/>
  <c r="G1512" i="108"/>
  <c r="G1507" i="108"/>
  <c r="G1464" i="108"/>
  <c r="G1474" i="108"/>
  <c r="G1473" i="108"/>
  <c r="G1472" i="108"/>
  <c r="G1471" i="108"/>
  <c r="G1470" i="108"/>
  <c r="G1459" i="108"/>
  <c r="G1458" i="108"/>
  <c r="G1430" i="108"/>
  <c r="G1435" i="108"/>
  <c r="G1434" i="108"/>
  <c r="G1425" i="108"/>
  <c r="G1393" i="108"/>
  <c r="G1396" i="108"/>
  <c r="G1386" i="108"/>
  <c r="G1385" i="108"/>
  <c r="G1370" i="108"/>
  <c r="G1369" i="108"/>
  <c r="G1330" i="108"/>
  <c r="G1328" i="108"/>
  <c r="G1335" i="108"/>
  <c r="G1334" i="108"/>
  <c r="G1333" i="108"/>
  <c r="G1323" i="108"/>
  <c r="G1322" i="108"/>
  <c r="G1284" i="108"/>
  <c r="G1294" i="108"/>
  <c r="G1293" i="108"/>
  <c r="G1283" i="108"/>
  <c r="G1239" i="108"/>
  <c r="G1249" i="108"/>
  <c r="G1248" i="108"/>
  <c r="G1247" i="108"/>
  <c r="G1246" i="108"/>
  <c r="G1236" i="108"/>
  <c r="G1207" i="108"/>
  <c r="G1211" i="108"/>
  <c r="G1166" i="108"/>
  <c r="G1164" i="108"/>
  <c r="G1172" i="108"/>
  <c r="G1171" i="108"/>
  <c r="G1132" i="108"/>
  <c r="G1128" i="108"/>
  <c r="G1095" i="108"/>
  <c r="G1094" i="108"/>
  <c r="G1099" i="108"/>
  <c r="G1088" i="108"/>
  <c r="G1060" i="108"/>
  <c r="G1055" i="108"/>
  <c r="G1059" i="108"/>
  <c r="G1018" i="108"/>
  <c r="G1012" i="108"/>
  <c r="G1017" i="108"/>
  <c r="G1008" i="108"/>
  <c r="G1007" i="108"/>
  <c r="G975" i="108"/>
  <c r="G973" i="108"/>
  <c r="G979" i="108"/>
  <c r="G968" i="108"/>
  <c r="G945" i="108"/>
  <c r="G901" i="108"/>
  <c r="G900" i="108"/>
  <c r="G907" i="108"/>
  <c r="G866" i="108"/>
  <c r="G813" i="108"/>
  <c r="G812" i="108"/>
  <c r="G811" i="108"/>
  <c r="G810" i="108"/>
  <c r="G809" i="108"/>
  <c r="G776" i="108"/>
  <c r="G775" i="108"/>
  <c r="G766" i="108"/>
  <c r="G765" i="108"/>
  <c r="G729" i="108"/>
  <c r="G726" i="108"/>
  <c r="G735" i="108"/>
  <c r="G692" i="108"/>
  <c r="G691" i="108"/>
  <c r="G690" i="108"/>
  <c r="G700" i="108"/>
  <c r="G699" i="108"/>
  <c r="G698" i="108"/>
  <c r="G697" i="108"/>
  <c r="G637" i="108"/>
  <c r="G636" i="108"/>
  <c r="G649" i="108"/>
  <c r="G648" i="108"/>
  <c r="G587" i="108"/>
  <c r="G599" i="108"/>
  <c r="G598" i="108"/>
  <c r="G547" i="108"/>
  <c r="G551" i="108"/>
  <c r="G542" i="108"/>
  <c r="G514" i="108"/>
  <c r="G507" i="108"/>
  <c r="G512" i="108"/>
  <c r="G469" i="108"/>
  <c r="G476" i="108"/>
  <c r="G475" i="108"/>
  <c r="G474" i="108"/>
  <c r="G473" i="108"/>
  <c r="G465" i="108"/>
  <c r="G464" i="108"/>
  <c r="G423" i="108"/>
  <c r="G419" i="108"/>
  <c r="G384" i="108"/>
  <c r="G377" i="108"/>
  <c r="G383" i="108"/>
  <c r="G346" i="108"/>
  <c r="G345" i="108"/>
  <c r="G344" i="108"/>
  <c r="G343" i="108"/>
  <c r="G297" i="108"/>
  <c r="G296" i="108"/>
  <c r="G295" i="108"/>
  <c r="G294" i="108"/>
  <c r="G293" i="108"/>
  <c r="G292" i="108"/>
  <c r="G291" i="108"/>
  <c r="G257" i="108"/>
  <c r="G266" i="108"/>
  <c r="G256" i="108"/>
  <c r="G263" i="108"/>
  <c r="G262" i="108"/>
  <c r="G261" i="108"/>
  <c r="G227" i="108"/>
  <c r="G225" i="108"/>
  <c r="G234" i="108"/>
  <c r="G220" i="108"/>
  <c r="G196" i="108"/>
  <c r="G198" i="108"/>
  <c r="G197" i="108"/>
  <c r="G170" i="108"/>
  <c r="G178" i="108"/>
  <c r="G169" i="108"/>
  <c r="G176" i="108"/>
  <c r="G150" i="108"/>
  <c r="G149" i="108"/>
  <c r="G148" i="108"/>
  <c r="G157" i="108"/>
  <c r="G131" i="108"/>
  <c r="G116" i="108"/>
  <c r="G129" i="108"/>
  <c r="G128" i="108"/>
  <c r="G127" i="108"/>
  <c r="G126" i="108"/>
  <c r="G125" i="108"/>
  <c r="G124" i="108"/>
  <c r="G106" i="108"/>
  <c r="G85" i="108"/>
  <c r="G92" i="108"/>
  <c r="G84" i="108"/>
  <c r="G83" i="108"/>
  <c r="G91" i="108"/>
  <c r="G82" i="108"/>
  <c r="G81" i="108"/>
  <c r="G71" i="108"/>
  <c r="G76" i="108"/>
  <c r="G75" i="108"/>
  <c r="G61" i="108"/>
  <c r="G60" i="108"/>
  <c r="G58" i="108"/>
  <c r="G57" i="108"/>
  <c r="G53" i="108"/>
  <c r="G52" i="108"/>
  <c r="G54" i="108"/>
  <c r="G44" i="108"/>
  <c r="G30" i="108"/>
  <c r="G4" i="111" l="1"/>
  <c r="H4" i="111"/>
  <c r="G5" i="111"/>
  <c r="H5" i="111"/>
  <c r="G6" i="111"/>
  <c r="H6" i="111"/>
  <c r="G7" i="111"/>
  <c r="H7" i="111"/>
  <c r="G8" i="111"/>
  <c r="H8" i="111"/>
  <c r="C9" i="111"/>
  <c r="D9" i="111"/>
  <c r="D11" i="111" s="1"/>
  <c r="E9" i="111"/>
  <c r="H9" i="111"/>
  <c r="E11" i="111"/>
  <c r="D14" i="111"/>
  <c r="E14" i="111"/>
  <c r="D15" i="111"/>
  <c r="E15" i="111"/>
  <c r="D16" i="111"/>
  <c r="E16" i="111"/>
  <c r="D17" i="111"/>
  <c r="E17" i="111"/>
  <c r="D18" i="111"/>
  <c r="E18" i="111"/>
  <c r="E2" i="106"/>
  <c r="G3" i="106"/>
  <c r="G4" i="106"/>
  <c r="G5" i="106"/>
  <c r="G6" i="106"/>
  <c r="C7" i="106"/>
  <c r="H7" i="106" s="1"/>
  <c r="J6" i="101"/>
  <c r="J7" i="101"/>
  <c r="J8" i="101"/>
  <c r="J9" i="101"/>
  <c r="J10" i="101"/>
  <c r="J11" i="101"/>
  <c r="G12" i="101"/>
  <c r="J12" i="101" s="1"/>
  <c r="H12" i="101"/>
  <c r="I12" i="101"/>
  <c r="I22" i="101"/>
  <c r="H22" i="101"/>
  <c r="G22" i="101"/>
  <c r="J21" i="101"/>
  <c r="J20" i="101"/>
  <c r="J19" i="101"/>
  <c r="J18" i="101"/>
  <c r="J17" i="101"/>
  <c r="J16" i="101"/>
  <c r="C3" i="104"/>
  <c r="D3" i="104"/>
  <c r="E3" i="104"/>
  <c r="C4" i="104"/>
  <c r="D4" i="104"/>
  <c r="E4" i="104"/>
  <c r="C5" i="104"/>
  <c r="D5" i="104"/>
  <c r="E5" i="104"/>
  <c r="D4" i="98"/>
  <c r="D5" i="98"/>
  <c r="D6" i="98"/>
  <c r="D8" i="98"/>
  <c r="D9" i="98"/>
  <c r="D10" i="98"/>
  <c r="D12" i="98"/>
  <c r="D13" i="98"/>
  <c r="D14" i="98" s="1"/>
  <c r="D16" i="98"/>
  <c r="D18" i="98"/>
  <c r="D19" i="98"/>
  <c r="D20" i="98"/>
  <c r="D22" i="98"/>
  <c r="D24" i="98"/>
  <c r="D29" i="98"/>
  <c r="D31" i="98"/>
  <c r="D35" i="98"/>
  <c r="D42" i="98"/>
  <c r="D46" i="98"/>
  <c r="D51" i="98"/>
  <c r="D52" i="98"/>
  <c r="D71" i="98"/>
  <c r="D74" i="98"/>
  <c r="D77" i="98"/>
  <c r="D81" i="98"/>
  <c r="D83" i="98"/>
  <c r="D85" i="98"/>
  <c r="D89" i="98"/>
  <c r="D90" i="98"/>
  <c r="D91" i="98"/>
  <c r="D93" i="98"/>
  <c r="D95" i="98"/>
  <c r="D98" i="98"/>
  <c r="D99" i="98"/>
  <c r="D100" i="98"/>
  <c r="D103" i="98"/>
  <c r="D104" i="98"/>
  <c r="D105" i="98"/>
  <c r="D106" i="98"/>
  <c r="D108" i="98"/>
  <c r="D110" i="98"/>
  <c r="B114" i="98"/>
  <c r="D115" i="98"/>
  <c r="D117" i="98"/>
  <c r="D120" i="98"/>
  <c r="F21" i="84"/>
  <c r="F20" i="84"/>
  <c r="F19" i="84"/>
  <c r="F18" i="84"/>
  <c r="F17" i="84"/>
  <c r="F41" i="57"/>
  <c r="F40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E19" i="57"/>
  <c r="T41" i="57"/>
  <c r="T40" i="57"/>
  <c r="T39" i="57"/>
  <c r="T38" i="57"/>
  <c r="T37" i="57"/>
  <c r="T36" i="57"/>
  <c r="T35" i="57"/>
  <c r="T34" i="57"/>
  <c r="T33" i="57"/>
  <c r="T32" i="57"/>
  <c r="T31" i="57"/>
  <c r="T30" i="57"/>
  <c r="T29" i="57"/>
  <c r="T28" i="57"/>
  <c r="T27" i="57"/>
  <c r="T26" i="57"/>
  <c r="T25" i="57"/>
  <c r="T24" i="57"/>
  <c r="T23" i="57"/>
  <c r="T22" i="57"/>
  <c r="T21" i="57"/>
  <c r="T20" i="57"/>
  <c r="T19" i="57"/>
  <c r="L41" i="57"/>
  <c r="N41" i="57" s="1"/>
  <c r="M41" i="57"/>
  <c r="L40" i="57"/>
  <c r="M40" i="57" s="1"/>
  <c r="N40" i="57"/>
  <c r="L39" i="57"/>
  <c r="N39" i="57" s="1"/>
  <c r="L38" i="57"/>
  <c r="N38" i="57" s="1"/>
  <c r="M38" i="57"/>
  <c r="L37" i="57"/>
  <c r="N37" i="57" s="1"/>
  <c r="M37" i="57"/>
  <c r="L36" i="57"/>
  <c r="N36" i="57" s="1"/>
  <c r="L35" i="57"/>
  <c r="N35" i="57" s="1"/>
  <c r="L34" i="57"/>
  <c r="N34" i="57" s="1"/>
  <c r="M34" i="57"/>
  <c r="L33" i="57"/>
  <c r="N33" i="57" s="1"/>
  <c r="L32" i="57"/>
  <c r="N32" i="57" s="1"/>
  <c r="L31" i="57"/>
  <c r="N31" i="57" s="1"/>
  <c r="M31" i="57"/>
  <c r="L30" i="57"/>
  <c r="M30" i="57" s="1"/>
  <c r="N30" i="57"/>
  <c r="L29" i="57"/>
  <c r="N29" i="57" s="1"/>
  <c r="L28" i="57"/>
  <c r="N28" i="57" s="1"/>
  <c r="L27" i="57"/>
  <c r="N27" i="57" s="1"/>
  <c r="M27" i="57"/>
  <c r="L26" i="57"/>
  <c r="M26" i="57" s="1"/>
  <c r="N26" i="57"/>
  <c r="L25" i="57"/>
  <c r="N25" i="57" s="1"/>
  <c r="M25" i="57"/>
  <c r="L24" i="57"/>
  <c r="M24" i="57" s="1"/>
  <c r="N24" i="57"/>
  <c r="L23" i="57"/>
  <c r="N23" i="57" s="1"/>
  <c r="L22" i="57"/>
  <c r="N22" i="57" s="1"/>
  <c r="M22" i="57"/>
  <c r="L21" i="57"/>
  <c r="N21" i="57" s="1"/>
  <c r="M21" i="57"/>
  <c r="L20" i="57"/>
  <c r="N20" i="57" s="1"/>
  <c r="L19" i="57"/>
  <c r="N19" i="57" s="1"/>
  <c r="C10" i="57"/>
  <c r="C13" i="57"/>
  <c r="C12" i="57"/>
  <c r="C8" i="57"/>
  <c r="E6" i="91"/>
  <c r="E7" i="91"/>
  <c r="E8" i="91"/>
  <c r="E9" i="91"/>
  <c r="E10" i="91"/>
  <c r="E11" i="91"/>
  <c r="E12" i="91"/>
  <c r="E13" i="91"/>
  <c r="E14" i="91"/>
  <c r="E15" i="91"/>
  <c r="E16" i="91"/>
  <c r="E17" i="91"/>
  <c r="F14" i="84"/>
  <c r="F13" i="84"/>
  <c r="F12" i="84"/>
  <c r="F11" i="84"/>
  <c r="F10" i="84"/>
  <c r="H24" i="81"/>
  <c r="H25" i="81"/>
  <c r="D26" i="81"/>
  <c r="D28" i="81" s="1"/>
  <c r="G26" i="81"/>
  <c r="H26" i="81" s="1"/>
  <c r="H27" i="81"/>
  <c r="E41" i="57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C7" i="61"/>
  <c r="E7" i="61"/>
  <c r="G7" i="61"/>
  <c r="I7" i="61"/>
  <c r="K7" i="61"/>
  <c r="C8" i="61"/>
  <c r="E8" i="61"/>
  <c r="G8" i="61"/>
  <c r="I8" i="61"/>
  <c r="K8" i="61"/>
  <c r="C9" i="61"/>
  <c r="E9" i="61"/>
  <c r="G9" i="61"/>
  <c r="I9" i="61"/>
  <c r="K9" i="61"/>
  <c r="C10" i="61"/>
  <c r="E10" i="61"/>
  <c r="G10" i="61"/>
  <c r="I10" i="61"/>
  <c r="K10" i="61"/>
  <c r="C11" i="61"/>
  <c r="E11" i="61"/>
  <c r="G11" i="61"/>
  <c r="I11" i="61"/>
  <c r="K11" i="61"/>
  <c r="C12" i="61"/>
  <c r="E12" i="61"/>
  <c r="G12" i="61"/>
  <c r="I12" i="61"/>
  <c r="K12" i="61"/>
  <c r="C13" i="61"/>
  <c r="E13" i="61"/>
  <c r="G13" i="61"/>
  <c r="I13" i="61"/>
  <c r="K13" i="61"/>
  <c r="C14" i="61"/>
  <c r="E14" i="61"/>
  <c r="G14" i="61"/>
  <c r="I14" i="61"/>
  <c r="K14" i="61"/>
  <c r="C15" i="61"/>
  <c r="E15" i="61"/>
  <c r="G15" i="61"/>
  <c r="I15" i="61"/>
  <c r="K15" i="61"/>
  <c r="C16" i="61"/>
  <c r="E16" i="61"/>
  <c r="G16" i="61"/>
  <c r="I16" i="61"/>
  <c r="K16" i="61"/>
  <c r="C17" i="61"/>
  <c r="E17" i="61"/>
  <c r="G17" i="61"/>
  <c r="I17" i="61"/>
  <c r="K17" i="61"/>
  <c r="C18" i="61"/>
  <c r="E18" i="61"/>
  <c r="G18" i="61"/>
  <c r="I18" i="61"/>
  <c r="K18" i="61"/>
  <c r="C19" i="61"/>
  <c r="E19" i="61"/>
  <c r="G19" i="61"/>
  <c r="I19" i="61"/>
  <c r="K19" i="61"/>
  <c r="C20" i="61"/>
  <c r="E20" i="61"/>
  <c r="G20" i="61"/>
  <c r="I20" i="61"/>
  <c r="K20" i="61"/>
  <c r="C21" i="61"/>
  <c r="E21" i="61"/>
  <c r="G21" i="61"/>
  <c r="I21" i="61"/>
  <c r="K21" i="61"/>
  <c r="C22" i="61"/>
  <c r="E22" i="61"/>
  <c r="G22" i="61"/>
  <c r="I22" i="61"/>
  <c r="K22" i="61"/>
  <c r="C23" i="61"/>
  <c r="E23" i="61"/>
  <c r="G23" i="61"/>
  <c r="I23" i="61"/>
  <c r="K23" i="61"/>
  <c r="C24" i="61"/>
  <c r="E24" i="61"/>
  <c r="G24" i="61"/>
  <c r="I24" i="61"/>
  <c r="K24" i="61"/>
  <c r="C25" i="61"/>
  <c r="E25" i="61"/>
  <c r="G25" i="61"/>
  <c r="I25" i="61"/>
  <c r="K25" i="61"/>
  <c r="C26" i="61"/>
  <c r="E26" i="61"/>
  <c r="G26" i="61"/>
  <c r="I26" i="61"/>
  <c r="K26" i="61"/>
  <c r="C27" i="61"/>
  <c r="E27" i="61"/>
  <c r="G27" i="61"/>
  <c r="I27" i="61"/>
  <c r="K27" i="61"/>
  <c r="C28" i="61"/>
  <c r="E28" i="61"/>
  <c r="G28" i="61"/>
  <c r="I28" i="61"/>
  <c r="K28" i="61"/>
  <c r="C29" i="61"/>
  <c r="E29" i="61"/>
  <c r="G29" i="61"/>
  <c r="I29" i="61"/>
  <c r="K29" i="61"/>
  <c r="C30" i="61"/>
  <c r="E30" i="61"/>
  <c r="G30" i="61"/>
  <c r="I30" i="61"/>
  <c r="K30" i="61"/>
  <c r="C31" i="61"/>
  <c r="E31" i="61"/>
  <c r="G31" i="61"/>
  <c r="I31" i="61"/>
  <c r="K31" i="61"/>
  <c r="C32" i="61"/>
  <c r="E32" i="61"/>
  <c r="G32" i="61"/>
  <c r="I32" i="61"/>
  <c r="K32" i="61"/>
  <c r="C33" i="61"/>
  <c r="E33" i="61"/>
  <c r="G33" i="61"/>
  <c r="I33" i="61"/>
  <c r="K33" i="61"/>
  <c r="C34" i="61"/>
  <c r="E34" i="61"/>
  <c r="G34" i="61"/>
  <c r="I34" i="61"/>
  <c r="K34" i="61"/>
  <c r="C35" i="61"/>
  <c r="E35" i="61"/>
  <c r="G35" i="61"/>
  <c r="I35" i="61"/>
  <c r="K35" i="61"/>
  <c r="C36" i="61"/>
  <c r="E36" i="61"/>
  <c r="G36" i="61"/>
  <c r="I36" i="61"/>
  <c r="K36" i="61"/>
  <c r="C37" i="61"/>
  <c r="E37" i="61"/>
  <c r="G37" i="61"/>
  <c r="I37" i="61"/>
  <c r="K37" i="61"/>
  <c r="E38" i="61"/>
  <c r="D39" i="28"/>
  <c r="D40" i="28"/>
  <c r="D38" i="28"/>
  <c r="D31" i="28"/>
  <c r="D25" i="28"/>
  <c r="D24" i="28"/>
  <c r="D17" i="28"/>
  <c r="D16" i="28"/>
  <c r="D10" i="28"/>
  <c r="D9" i="28"/>
  <c r="G9" i="111" l="1"/>
  <c r="M28" i="57"/>
  <c r="D19" i="111"/>
  <c r="M19" i="57"/>
  <c r="M23" i="57"/>
  <c r="M35" i="57"/>
  <c r="M39" i="57"/>
  <c r="G28" i="81"/>
  <c r="M20" i="57"/>
  <c r="M36" i="57"/>
  <c r="M33" i="57"/>
  <c r="C11" i="111"/>
  <c r="F3" i="106"/>
  <c r="F4" i="106" s="1"/>
  <c r="F5" i="106" s="1"/>
  <c r="F6" i="106" s="1"/>
  <c r="E19" i="111"/>
  <c r="M32" i="57"/>
  <c r="M29" i="57"/>
  <c r="J22" i="101"/>
  <c r="D53" i="98"/>
  <c r="H28" i="81"/>
</calcChain>
</file>

<file path=xl/sharedStrings.xml><?xml version="1.0" encoding="utf-8"?>
<sst xmlns="http://schemas.openxmlformats.org/spreadsheetml/2006/main" count="13768" uniqueCount="3078">
  <si>
    <t>A day equals 1, half a day is .5 and an hour time interval is therefore 1/24=0.041666667</t>
  </si>
  <si>
    <t>Dates are stored as serial values with time starting on January 1, 1900.</t>
  </si>
  <si>
    <t>January 1,1900 equals 1 and December 1, 2005 equals 38,687 as it 38,687 days after January 1,1900.</t>
  </si>
  <si>
    <t>One hour past midnight is serial value 38687.041666667 and Noon on December 1, 2005 is 38687.5.</t>
  </si>
  <si>
    <t>Note: Not all keyboard shortcuts will work in precisely the same way on Excel for Mac. In general, the "Apple key" replaces the "Control" key for most commands.</t>
  </si>
  <si>
    <t xml:space="preserve">Command </t>
  </si>
  <si>
    <t xml:space="preserve">Applies to </t>
  </si>
  <si>
    <t>US</t>
  </si>
  <si>
    <t>Display the Find command (Edit menu)</t>
  </si>
  <si>
    <t>Excel</t>
  </si>
  <si>
    <t>COMMAND+F</t>
  </si>
  <si>
    <t>Display the Replace command (Edit menu)</t>
  </si>
  <si>
    <t>COMMAND+H</t>
  </si>
  <si>
    <t>Create a new workbook</t>
  </si>
  <si>
    <t>COMMAND+N</t>
  </si>
  <si>
    <t>Open an existing file</t>
  </si>
  <si>
    <t>COMMAND+O</t>
  </si>
  <si>
    <t>Quit</t>
  </si>
  <si>
    <t>COMMAND+Q</t>
  </si>
  <si>
    <t>Save</t>
  </si>
  <si>
    <t>Workbook</t>
  </si>
  <si>
    <t>COMMAND+S</t>
  </si>
  <si>
    <t>Decrease font size</t>
  </si>
  <si>
    <t>COMMAND+SHIFT+,</t>
  </si>
  <si>
    <t>Paste the selection</t>
  </si>
  <si>
    <t>COMMAND+V</t>
  </si>
  <si>
    <t>Repeat the last action</t>
  </si>
  <si>
    <t>COMMAND+Y</t>
  </si>
  <si>
    <t>Undo the last selection</t>
  </si>
  <si>
    <t>COMMAND+Z</t>
  </si>
  <si>
    <t>Insert cells</t>
  </si>
  <si>
    <t>Worksheet</t>
  </si>
  <si>
    <t>CONTROL+I</t>
  </si>
  <si>
    <t>Define name</t>
  </si>
  <si>
    <t>CONTROL+L</t>
  </si>
  <si>
    <t>Undo</t>
  </si>
  <si>
    <t>Last action(s)</t>
  </si>
  <si>
    <t>F1</t>
  </si>
  <si>
    <t>Moving / Selecting</t>
  </si>
  <si>
    <t>Excel for Mac users</t>
  </si>
  <si>
    <t>Excel for Windows users</t>
  </si>
  <si>
    <t>Select the entire worksheet</t>
  </si>
  <si>
    <t>COMMAND+A</t>
  </si>
  <si>
    <t>Move to the edge of the current data region</t>
  </si>
  <si>
    <t>Cell, Range</t>
  </si>
  <si>
    <t>CONTROL+ARROW KEY</t>
  </si>
  <si>
    <t>Move to the beginning of the worksheet</t>
  </si>
  <si>
    <t>CONTROL+HOME</t>
  </si>
  <si>
    <t>Delete selected cells</t>
  </si>
  <si>
    <t>CONTROL+K</t>
  </si>
  <si>
    <t>Move to the next sheet in the workbook</t>
  </si>
  <si>
    <t>CONTROL+PAGE DOWN</t>
  </si>
  <si>
    <t>Move to the previous sheet in the workbook</t>
  </si>
  <si>
    <t>CONTROL+PAGE UP</t>
  </si>
  <si>
    <t>Select the current region around the active cell (the current region is an area enclosed by blank rows and blank columns)</t>
  </si>
  <si>
    <t>Cell</t>
  </si>
  <si>
    <t>CONTROL+SHIFT+* (Asterisk)</t>
  </si>
  <si>
    <t>Extend the selection to the last nonblank cell in the same column or row as the active cell</t>
  </si>
  <si>
    <t>CONTROL+SHIFT+ARROW KEY</t>
  </si>
  <si>
    <t>CONTROL+SHIFT+DOWN ARROW</t>
  </si>
  <si>
    <t>Extend the selection to the last cell used on the worksheet (lower-right corner)</t>
  </si>
  <si>
    <t>CONTROL+SHIFT+END</t>
  </si>
  <si>
    <t>Extend the selection to the beginning of the worksheet</t>
  </si>
  <si>
    <t>CONTROL+SHIFT+HOME</t>
  </si>
  <si>
    <t>CONTROL+SHIFT+LEFT ARROW</t>
  </si>
  <si>
    <t>CONTROL+SHIFT+RIGHT ARROW</t>
  </si>
  <si>
    <t>CONTROL+SHIFT+UP ARROW</t>
  </si>
  <si>
    <t>Select the entire column</t>
  </si>
  <si>
    <t>CONTROL+SPACEBAR</t>
  </si>
  <si>
    <t>Edit the active cell</t>
  </si>
  <si>
    <t>CONTROL+U</t>
  </si>
  <si>
    <t>Move to the last cell to the right that is not blank in the current row</t>
  </si>
  <si>
    <t>END, RETURN</t>
  </si>
  <si>
    <t>END, SHIFT+ARROW KEY</t>
  </si>
  <si>
    <t>END, SHIFT+HOME</t>
  </si>
  <si>
    <t>Enclose "array" formulas. These braces are added when you hit ctrl+shift+enter; you must do this every time you enter or change an array formula</t>
  </si>
  <si>
    <t>=RIGHT(B9,4)</t>
  </si>
  <si>
    <t>=RIGHT(B10,1)</t>
  </si>
  <si>
    <t>=LEFT(B16,4)</t>
  </si>
  <si>
    <t>=LEFT(B17,1)</t>
  </si>
  <si>
    <t>=MID(B24,4,4)</t>
  </si>
  <si>
    <t>=MID(B25,FIND(" ",B25),999)</t>
  </si>
  <si>
    <t>=B31&amp;" was a US president"</t>
  </si>
  <si>
    <t>=FIND("l",B38)</t>
  </si>
  <si>
    <t>=FIND("n",B39,10)</t>
  </si>
  <si>
    <t>=FIND("X",B40)</t>
  </si>
  <si>
    <t>&lt;-- find a "n" starting from the 10th character(the "t" in Clinton)</t>
  </si>
  <si>
    <t>&lt;-- If text-to-find is not in the string FIND returns a value error</t>
  </si>
  <si>
    <t>&lt;-- Take all the characters starting from the first space</t>
  </si>
  <si>
    <t>Removes spaces from text, except for single spaces between words</t>
  </si>
  <si>
    <t>(Windows-based Excel only)</t>
  </si>
  <si>
    <r>
      <t>Keyboard shortcut: Hold down the Alt key (</t>
    </r>
    <r>
      <rPr>
        <i/>
        <sz val="10"/>
        <rFont val="Gill Sans MT"/>
        <family val="2"/>
      </rPr>
      <t>use Option key for Excel for Mac</t>
    </r>
    <r>
      <rPr>
        <sz val="10"/>
        <rFont val="Gill Sans MT"/>
        <family val="2"/>
      </rPr>
      <t>) to access the data filter</t>
    </r>
  </si>
  <si>
    <t>Extend the selection to the last cell in the current row</t>
  </si>
  <si>
    <t>END, SHIFT+RETURN</t>
  </si>
  <si>
    <t>Select the entire row</t>
  </si>
  <si>
    <t>Cell, Cells</t>
  </si>
  <si>
    <t>SHIFT+SPACEBAR</t>
  </si>
  <si>
    <t>Formatting</t>
  </si>
  <si>
    <t>Display the Cells command (Format menu)</t>
  </si>
  <si>
    <t>COMMAND+1</t>
  </si>
  <si>
    <t>Apply or remove bold formatting</t>
  </si>
  <si>
    <t>Cells, Text Boxes, Chart objects, Chart items</t>
  </si>
  <si>
    <t>COMMAND+B</t>
  </si>
  <si>
    <t>Apply or remove italic formatting</t>
  </si>
  <si>
    <t>COMMAND+I</t>
  </si>
  <si>
    <t>Display the Formula Palette after you type a valid function name in a formula</t>
  </si>
  <si>
    <t>CONTROL+A</t>
  </si>
  <si>
    <t>Insert the argument names and parentheses for a function, after you type a valid function name in a formula</t>
  </si>
  <si>
    <t>CONTROL+SHIFT+A</t>
  </si>
  <si>
    <t>Formulas</t>
  </si>
  <si>
    <t>Select only cells that are directly referred to by formulas in the selection</t>
  </si>
  <si>
    <t>CONTROL+[</t>
  </si>
  <si>
    <t>Start a new line in the same cell</t>
  </si>
  <si>
    <t>CONTROL+OPTION+RETURN</t>
  </si>
  <si>
    <t>Select all cells that are directly or indirectly referred to by formulas in the selection</t>
  </si>
  <si>
    <t>CONTROL+SHIFT+{</t>
  </si>
  <si>
    <t>Keyboard Shortcuts, Excel for Mac</t>
  </si>
  <si>
    <t>Select full row, then delete selection</t>
  </si>
  <si>
    <t>Deleting rows: SHIFT+Spacebar, then CTRL-K</t>
  </si>
  <si>
    <t>Deleting columns: CTRL+Spacebar, then CTRL-K</t>
  </si>
  <si>
    <t>For a more complete resource (PDF): http://www.isd196.k12.mn.us/rhs/techhelp/rhs/excel2001keybdshortcuts.pdf</t>
  </si>
  <si>
    <t>Inserting rows: SHIFT+Spacebar, then CTRL-I</t>
  </si>
  <si>
    <t>Inserting columns: CTRL+Spacebar, then CTRL-I</t>
  </si>
  <si>
    <t>Storing dates as sequential numbers makes it easy to add, subtract and determine time intervals between two dates or times.</t>
  </si>
  <si>
    <t>Dates entered without a specified year are assumed to be in the current year. A date entered as Feb-28 (in 2005) is stored as 28/2/2005 or date serial 38411.</t>
  </si>
  <si>
    <t>Dates entered with a 2 digit year are stored as pre-2000 dates if the year is between 30 and 99 or as post-2000 dates if the year is between 0 and 29.</t>
  </si>
  <si>
    <t>28/02/05 is in year 2005, 28/02/98 is in 1998, 28/02/29 is in 2029 and 28/02/30 is in 1930.</t>
  </si>
  <si>
    <t>The 1904 Date System</t>
  </si>
  <si>
    <t xml:space="preserve">Macintosh computers typically use the 1904 date system with January 2, 1904 equal to 1. </t>
  </si>
  <si>
    <t>Date values will change by 4 years and 1 day.</t>
  </si>
  <si>
    <t>How Excel displays dates and times.</t>
  </si>
  <si>
    <t>Each of the dates at the right has an underlying serial value of 38598.</t>
  </si>
  <si>
    <t>Note that the time value is midnight (at the start of the day).</t>
  </si>
  <si>
    <t>The examples on the right use the US date format mm/dd/yyyy</t>
  </si>
  <si>
    <t>The date format can be changed to the UK date format (dd/mm/yyyy) by changing the option in the Locale box.</t>
  </si>
  <si>
    <t>Excel will recognize an input that is in a date format.</t>
  </si>
  <si>
    <t>store it in the cell as a serial value, and display it in a date format.</t>
  </si>
  <si>
    <t>Function basics</t>
  </si>
  <si>
    <t>Function Name</t>
  </si>
  <si>
    <t>optional argument</t>
  </si>
  <si>
    <t>=sum(number1,[number2],…)</t>
  </si>
  <si>
    <t>Arguments</t>
  </si>
  <si>
    <t>Functions always begin with a "="</t>
  </si>
  <si>
    <t>Arguments separated by a comma</t>
  </si>
  <si>
    <t>Optional arguments are enclosed in [] brackets</t>
  </si>
  <si>
    <r>
      <t xml:space="preserve">To find a list of all excel functions, go to </t>
    </r>
    <r>
      <rPr>
        <b/>
        <sz val="10"/>
        <rFont val="Gill Sans MT"/>
        <family val="2"/>
      </rPr>
      <t>Insert--&gt;Function</t>
    </r>
  </si>
  <si>
    <t xml:space="preserve">To create an absolute reference, you insert a dollar sign ($) before the column and row of the cell reference. </t>
  </si>
  <si>
    <t xml:space="preserve">For example, the cell reference $B$8 is an absolute reference, whereas the cell reference B8 is a relative reference. </t>
  </si>
  <si>
    <t xml:space="preserve">If you copy a formula that contains the absolute reference $B$8 to another cell, the cell reference $B$8 does not change. </t>
  </si>
  <si>
    <t>On the other hand, if you copy a formula containing the relative reference B8 to another cell, the reference B8 changes.</t>
  </si>
  <si>
    <t>Relative</t>
  </si>
  <si>
    <t>formula</t>
  </si>
  <si>
    <t>result</t>
  </si>
  <si>
    <t>=C10</t>
  </si>
  <si>
    <t>Both the row and colums change based on their relative postions</t>
  </si>
  <si>
    <t>In this case, as the row changes, so does the row's relative reference</t>
  </si>
  <si>
    <t>Absolute</t>
  </si>
  <si>
    <t>=$C$10</t>
  </si>
  <si>
    <t>When copyed down, the reference stays the same</t>
  </si>
  <si>
    <t>To create a reference to another sheet, include the sheet name, followed by an excalimation mark (!), then the cell range</t>
  </si>
  <si>
    <t>List of all text functions</t>
  </si>
  <si>
    <t>Function</t>
  </si>
  <si>
    <t>Description</t>
  </si>
  <si>
    <t>ASC</t>
  </si>
  <si>
    <t>Changes full-width (double-byte) English letters or katakana within a character string to half-width (single-byte) characters</t>
  </si>
  <si>
    <t>BAHTTEXT</t>
  </si>
  <si>
    <t>Converts a number to text, using the ß (baht) currency format</t>
  </si>
  <si>
    <t>CHAR</t>
  </si>
  <si>
    <t>Returns the character specified by the code number</t>
  </si>
  <si>
    <t>CLEAN</t>
  </si>
  <si>
    <t>Removes all nonprintable characters from text</t>
  </si>
  <si>
    <t>CODE</t>
  </si>
  <si>
    <t>Returns a numeric code for the first character in a text string</t>
  </si>
  <si>
    <t>CONCATENATE</t>
  </si>
  <si>
    <t>Joins several text items into one text item</t>
  </si>
  <si>
    <t>DOLLAR</t>
  </si>
  <si>
    <t>Converts a number to text, using the $ (dollar) currency format</t>
  </si>
  <si>
    <t>EXACT</t>
  </si>
  <si>
    <t>Checks to see if two text values are identical</t>
  </si>
  <si>
    <t>FIND</t>
  </si>
  <si>
    <t>Finds one text value within another (case-sensitive)</t>
  </si>
  <si>
    <t>FIXED</t>
  </si>
  <si>
    <t>Formats a number as text with a fixed number of decimals</t>
  </si>
  <si>
    <t>JIS</t>
  </si>
  <si>
    <t>Changes half-width (single-byte) English letters or katakana within a character string to full-width (double-byte) characters</t>
  </si>
  <si>
    <t>LEFT</t>
  </si>
  <si>
    <t>Returns the leftmost characters from a text value</t>
  </si>
  <si>
    <t>LEN</t>
  </si>
  <si>
    <t>Returns the number of characters in a text string</t>
  </si>
  <si>
    <t>LOWER</t>
  </si>
  <si>
    <t>Converts text to lowercase</t>
  </si>
  <si>
    <t>MID</t>
  </si>
  <si>
    <t>Returns a specific number of characters from a text string starting at the position you specify</t>
  </si>
  <si>
    <t>PHONETIC</t>
  </si>
  <si>
    <t>Extracts the phonetic (furigana) characters from a text string</t>
  </si>
  <si>
    <t>PROPER</t>
  </si>
  <si>
    <t>Capitalizes the first letter in each word of a text value</t>
  </si>
  <si>
    <t>REPLACE</t>
  </si>
  <si>
    <t>Replaces characters within text</t>
  </si>
  <si>
    <t>REPT</t>
  </si>
  <si>
    <t>Repeats text a given number of times</t>
  </si>
  <si>
    <t>RIGHT</t>
  </si>
  <si>
    <t>Returns the rightmost characters from a text value</t>
  </si>
  <si>
    <t>SEARCH</t>
  </si>
  <si>
    <t>Finds one text value within another (not case-sensitive)</t>
  </si>
  <si>
    <t>SUBSTITUTE</t>
  </si>
  <si>
    <t>Substitutes new text for old text in a text string</t>
  </si>
  <si>
    <t>T</t>
  </si>
  <si>
    <t>Converts its arguments to text</t>
  </si>
  <si>
    <t>TEXT</t>
  </si>
  <si>
    <t>Formats a number and converts it to text</t>
  </si>
  <si>
    <t>TRIM</t>
  </si>
  <si>
    <t>UPPER</t>
  </si>
  <si>
    <t>Converts text to uppercase</t>
  </si>
  <si>
    <t>VALUE</t>
  </si>
  <si>
    <t>Converts a text argument to a number</t>
  </si>
  <si>
    <t>&amp;</t>
  </si>
  <si>
    <t>Adds strings of text together</t>
  </si>
  <si>
    <t>'</t>
  </si>
  <si>
    <t>Anything following the ' sign is converted to a string.  Useful if trying to write the equals sign</t>
  </si>
  <si>
    <t>There are 7 different types of errors in Excel:</t>
  </si>
  <si>
    <t>Occurs when Microsoft Excel doesn't recognize text in a formula.</t>
  </si>
  <si>
    <t>Occurs when you specify an intersection of two areas that do not intersect. The intersection operator is a space between references.</t>
  </si>
  <si>
    <t>Occurs when a number is divided by zero (0).</t>
  </si>
  <si>
    <r>
      <t>Occurs when the wrong type of argument</t>
    </r>
    <r>
      <rPr>
        <sz val="10"/>
        <color indexed="8"/>
        <rFont val="Tahoma"/>
        <family val="2"/>
      </rPr>
      <t xml:space="preserve"> is used.</t>
    </r>
  </si>
  <si>
    <t>Occurs when a cell reference is not valid</t>
  </si>
  <si>
    <t>Occurs with invalid numeric values in a formula or function.</t>
  </si>
  <si>
    <t>Occurs when a value is not available to a function or formula.</t>
  </si>
  <si>
    <t>Example</t>
  </si>
  <si>
    <t>Error Checking</t>
  </si>
  <si>
    <t>to find if a value in a cell is an error, use the ISERROR() function</t>
  </si>
  <si>
    <t>to create a #N/A, use the NA() function</t>
  </si>
  <si>
    <t>Standard problem:</t>
  </si>
  <si>
    <t>error check</t>
  </si>
  <si>
    <t>formula used:</t>
  </si>
  <si>
    <t>=IF(ISERROR(G18),"",G18)</t>
  </si>
  <si>
    <t>total</t>
  </si>
  <si>
    <t>The error messes up computations</t>
  </si>
  <si>
    <t>Can now find the total despite the bad data</t>
  </si>
  <si>
    <t>Eliminate the need to scroll down a large data set and select a large block of data almost instantly</t>
  </si>
  <si>
    <t>Inserting rows and columns</t>
  </si>
  <si>
    <t>Deleteing rows and columns</t>
  </si>
  <si>
    <t>" "</t>
  </si>
  <si>
    <t>Use double quotes (" ") to signify a string.  Example: 45 is a number, but "45" is a string of characters</t>
  </si>
  <si>
    <t xml:space="preserve">remember that these dollar signs nail down the row and column references </t>
  </si>
  <si>
    <t>since this is a relative reference, it will change as you copy and paste this formula down or across a block of data</t>
  </si>
  <si>
    <t>V-Lookups</t>
  </si>
  <si>
    <t>Turns a relative reference to an absolute reference</t>
  </si>
  <si>
    <t>If a sheet name has a space between it, Excel will automatically put a ' ' around the sheet name when it is referenced from another sheet</t>
  </si>
  <si>
    <t>!</t>
  </si>
  <si>
    <t>Placed after a string to signify a reference to a sheet with that name</t>
  </si>
  <si>
    <t>Errors happen, but if you know why they are happening, they can help you to understand your data</t>
  </si>
  <si>
    <t>REPT() function</t>
  </si>
  <si>
    <t>Example 1:</t>
  </si>
  <si>
    <t>Example 2:</t>
  </si>
  <si>
    <t>Why:  Quickly displays information visually without much effort</t>
  </si>
  <si>
    <t>What:  By manipulating the text function REPT(), we can create visual displays of numbers without charting</t>
  </si>
  <si>
    <t>Example 3:</t>
  </si>
  <si>
    <t>short bars</t>
  </si>
  <si>
    <t>longer bars</t>
  </si>
  <si>
    <r>
      <t>=REPT("|",$B41</t>
    </r>
    <r>
      <rPr>
        <b/>
        <sz val="10"/>
        <color indexed="10"/>
        <rFont val="Gill Sans MT"/>
        <family val="2"/>
      </rPr>
      <t>*2</t>
    </r>
    <r>
      <rPr>
        <sz val="10"/>
        <rFont val="Gill Sans MT"/>
        <family val="2"/>
      </rPr>
      <t>)&amp;" "&amp;$B41</t>
    </r>
  </si>
  <si>
    <t>Add a common multiplier or divisor to adjust the length of the bars</t>
  </si>
  <si>
    <t>Adjust the Text color to red and Right-Align the cells</t>
  </si>
  <si>
    <r>
      <t xml:space="preserve">Click on </t>
    </r>
    <r>
      <rPr>
        <b/>
        <sz val="10"/>
        <rFont val="Gill Sans MT"/>
        <family val="2"/>
      </rPr>
      <t>Tools-Options-Calculation</t>
    </r>
    <r>
      <rPr>
        <sz val="10"/>
        <rFont val="Gill Sans MT"/>
        <family val="2"/>
      </rPr>
      <t xml:space="preserve"> and ensure that the 1904 date system checkbox is unchecked.</t>
    </r>
  </si>
  <si>
    <t>Exercise 1: Change the formatting in Graph A to look the same as Graph B (three examples)</t>
  </si>
  <si>
    <t>Charts: exercise</t>
  </si>
  <si>
    <t>Microsoft Excel has notoriously bad defaults for its charts.</t>
  </si>
  <si>
    <t>Exercise: Change the formatting of the chart on the right to reduce the chart junk. Answers below.</t>
  </si>
  <si>
    <t>Visit this site for more examples of fixing charts: http://www.perceptualedge.com/examples.htm#</t>
  </si>
  <si>
    <t>Ideas for cleaning this chart:</t>
  </si>
  <si>
    <t>* Eliminate 3-D (Chart -- Chart Type -- Select 2-D column chart)</t>
  </si>
  <si>
    <t>* Eliminate the table at the bottom of the chart (Right click on table -- Clear)</t>
  </si>
  <si>
    <t>* Eliminate gray background and border (Double click on chart background, select None under Area and None under Border)</t>
  </si>
  <si>
    <t>* Eliminate vertical gridlines. (Right click on a vertical gridline and select Clear)</t>
  </si>
  <si>
    <t>* Optional: Eliminate borders around the columns. (Double click on column and select None under Border)</t>
  </si>
  <si>
    <t>It is often userful to show two related data series in a single chart. If the series have very different scales</t>
  </si>
  <si>
    <t>you will want to add a second axis.  Here's how you do it:</t>
  </si>
  <si>
    <t>1. On Chart Menu, select Source Data</t>
  </si>
  <si>
    <t>2. Change the data range to include the second metric</t>
  </si>
  <si>
    <t>3. You will see that the second series doesn't fit well given the scale on the y-axis</t>
  </si>
  <si>
    <t>4. Right click on the second series and choose Format Data Series</t>
  </si>
  <si>
    <t>5. Under the Axis tab, select Secondary axis. The new axis will be auto-scaled for the second data series</t>
  </si>
  <si>
    <t>Exercise 4: Mixed Chart Types</t>
  </si>
  <si>
    <t>You have more flexibility with Excel charts than you may know. Excel gives you the ability to mix certain chart types. You may have seen some of these</t>
  </si>
  <si>
    <t>under the customer chart types in the Chart Type dialogue box.</t>
  </si>
  <si>
    <t>Fortunately, you don't need to depend entirely on these</t>
  </si>
  <si>
    <t xml:space="preserve">pre-defined custom types. </t>
  </si>
  <si>
    <t>Making Mixed Charts is as easy as selecting one of the data ranges</t>
  </si>
  <si>
    <t>in your chart, right clicking, and selecting Chart Type</t>
  </si>
  <si>
    <t>The Chart Type that you select will only apply the the range</t>
  </si>
  <si>
    <t>you selected</t>
  </si>
  <si>
    <t>Practice with the chart below to discover the different combinations</t>
  </si>
  <si>
    <t>that are possible</t>
  </si>
  <si>
    <r>
      <t xml:space="preserve">If a user inputs </t>
    </r>
    <r>
      <rPr>
        <b/>
        <sz val="10"/>
        <rFont val="Gill Sans MT"/>
        <family val="2"/>
      </rPr>
      <t>Dec 1, 2005</t>
    </r>
    <r>
      <rPr>
        <sz val="10"/>
        <rFont val="Gill Sans MT"/>
        <family val="2"/>
      </rPr>
      <t xml:space="preserve"> or </t>
    </r>
    <r>
      <rPr>
        <b/>
        <sz val="10"/>
        <rFont val="Gill Sans MT"/>
        <family val="2"/>
      </rPr>
      <t>10 May 2004</t>
    </r>
    <r>
      <rPr>
        <sz val="10"/>
        <rFont val="Gill Sans MT"/>
        <family val="2"/>
      </rPr>
      <t xml:space="preserve"> Excel will recognize this as a date,</t>
    </r>
  </si>
  <si>
    <r>
      <t xml:space="preserve">Excel sometimes makes </t>
    </r>
    <r>
      <rPr>
        <i/>
        <sz val="10"/>
        <rFont val="Gill Sans MT"/>
        <family val="2"/>
      </rPr>
      <t>mistakes</t>
    </r>
    <r>
      <rPr>
        <sz val="10"/>
        <rFont val="Gill Sans MT"/>
        <family val="2"/>
      </rPr>
      <t xml:space="preserve">. A user may enter </t>
    </r>
    <r>
      <rPr>
        <i/>
        <sz val="10"/>
        <rFont val="Gill Sans MT"/>
        <family val="2"/>
      </rPr>
      <t>3-4</t>
    </r>
    <r>
      <rPr>
        <sz val="10"/>
        <rFont val="Gill Sans MT"/>
        <family val="2"/>
      </rPr>
      <t>, meaning a value between 3 and 4,</t>
    </r>
  </si>
  <si>
    <t>What:</t>
  </si>
  <si>
    <t>Why:</t>
  </si>
  <si>
    <t>Learning the Keyboard shortcuts will drastically improve your efficiency when working in excel</t>
  </si>
  <si>
    <t>Character</t>
  </si>
  <si>
    <t>Used to:</t>
  </si>
  <si>
    <t>$</t>
  </si>
  <si>
    <t>{ }</t>
  </si>
  <si>
    <t>Keyboard Shortcuts (part 2 of 2)</t>
  </si>
  <si>
    <t>Hold down the "ctrl" key and press the arrow keys to move to the end of a continuous block of data</t>
  </si>
  <si>
    <t>Keyboarding examples</t>
  </si>
  <si>
    <t>Hold down the shift + "ctrl" and press the arrow keys to select the cells while moving to the end of a continuous block of data</t>
  </si>
  <si>
    <t>A list of useful keyboard shortcuts that are not menu-based</t>
  </si>
  <si>
    <t>Dates and Time formats in Excel</t>
  </si>
  <si>
    <t>Excel has specific methods for storing Dates and times</t>
  </si>
  <si>
    <t>Understanding how to manipulate date formats is a common necessity when creating reports in excel</t>
  </si>
  <si>
    <t>Source:</t>
  </si>
  <si>
    <t>Excel Function basics and syntax</t>
  </si>
  <si>
    <t>Understand what all those different brackets and punctuation means</t>
  </si>
  <si>
    <t>Type "=Function Name(" to get the signature</t>
  </si>
  <si>
    <t>Absolute vs. Relative references</t>
  </si>
  <si>
    <t xml:space="preserve">This can cause date discrepancies if files are transferred from Mac to Windows or vice versa. </t>
  </si>
  <si>
    <t>Excel users in Windows may also inadvertently be using the 1904 date system and</t>
  </si>
  <si>
    <t>this will also cause dates to change if the file is sent to a user on the more common 1900 date system.</t>
  </si>
  <si>
    <r>
      <t xml:space="preserve">Dates are stored in Excel cells as serial values but can be displayed in various date formats by clicking </t>
    </r>
    <r>
      <rPr>
        <b/>
        <sz val="10"/>
        <rFont val="Gill Sans MT"/>
        <family val="2"/>
      </rPr>
      <t>Format-Cells-Number-Date-Type</t>
    </r>
    <r>
      <rPr>
        <sz val="10"/>
        <rFont val="Gill Sans MT"/>
        <family val="2"/>
      </rPr>
      <t>.</t>
    </r>
  </si>
  <si>
    <t>but Excel will interpret this as March 4th and store the input as 38415. This can be remedied my placing a quote before the 3-4 input. i.e. '3-4</t>
  </si>
  <si>
    <t>#</t>
  </si>
  <si>
    <t>start</t>
  </si>
  <si>
    <t>finish</t>
  </si>
  <si>
    <t>a</t>
  </si>
  <si>
    <t>select me!</t>
  </si>
  <si>
    <t>Select the blue shaded cells only</t>
  </si>
  <si>
    <t>b</t>
  </si>
  <si>
    <t>c</t>
  </si>
  <si>
    <t>d</t>
  </si>
  <si>
    <t>e</t>
  </si>
  <si>
    <t>f</t>
  </si>
  <si>
    <t>g</t>
  </si>
  <si>
    <t>Deleting rows: Alt-E-D-R</t>
  </si>
  <si>
    <t>Edit, Delete, Row</t>
  </si>
  <si>
    <t>Edit, Delete, Column</t>
  </si>
  <si>
    <t>Deleting columns: Alt-E-D-C</t>
  </si>
  <si>
    <t>h</t>
  </si>
  <si>
    <t>i</t>
  </si>
  <si>
    <t>j</t>
  </si>
  <si>
    <t>k</t>
  </si>
  <si>
    <t>l</t>
  </si>
  <si>
    <t>m</t>
  </si>
  <si>
    <t>n</t>
  </si>
  <si>
    <t>o</t>
  </si>
  <si>
    <t>p</t>
  </si>
  <si>
    <t>Insert, Row</t>
  </si>
  <si>
    <t>Inserting columns: Alt-I-C</t>
  </si>
  <si>
    <t>Inserting rows: Alt-I-R</t>
  </si>
  <si>
    <t>Insert, Column</t>
  </si>
  <si>
    <t>exercise 1: Insert a column after every blue column and a row after every blue row</t>
  </si>
  <si>
    <t>First Name</t>
  </si>
  <si>
    <t>Last Name</t>
  </si>
  <si>
    <t>jump</t>
  </si>
  <si>
    <t>* James K. Polk</t>
  </si>
  <si>
    <t>* Zachary Taylor</t>
  </si>
  <si>
    <t>* James Buchanan</t>
  </si>
  <si>
    <t>* Abraham Lincoln</t>
  </si>
  <si>
    <t>* James Garfield</t>
  </si>
  <si>
    <t>* Grover Cleveland</t>
  </si>
  <si>
    <t>* Woodrow Wilson</t>
  </si>
  <si>
    <t>* Harry S. Truman</t>
  </si>
  <si>
    <t>* John F. Kennedy</t>
  </si>
  <si>
    <t>* Richard Nixon</t>
  </si>
  <si>
    <t>* Bill Clinton</t>
  </si>
  <si>
    <t>1844 election</t>
  </si>
  <si>
    <t>1848 election</t>
  </si>
  <si>
    <t>1856 election</t>
  </si>
  <si>
    <t>1860 election</t>
  </si>
  <si>
    <t>1880 election</t>
  </si>
  <si>
    <t>1884 election</t>
  </si>
  <si>
    <t>1892 election</t>
  </si>
  <si>
    <t>1912 election</t>
  </si>
  <si>
    <t>1916 election</t>
  </si>
  <si>
    <t>1948 election</t>
  </si>
  <si>
    <t>1960 election</t>
  </si>
  <si>
    <t>1968 election</t>
  </si>
  <si>
    <t>1992 election</t>
  </si>
  <si>
    <t>1996 election</t>
  </si>
  <si>
    <t>49.3%</t>
  </si>
  <si>
    <t>47.3%</t>
  </si>
  <si>
    <t>45.3%</t>
  </si>
  <si>
    <t>39.9%</t>
  </si>
  <si>
    <t>48.3%</t>
  </si>
  <si>
    <t>48.8%</t>
  </si>
  <si>
    <t>46.0%</t>
  </si>
  <si>
    <t>41.8%</t>
  </si>
  <si>
    <t>49.7%</t>
  </si>
  <si>
    <t>43.2%</t>
  </si>
  <si>
    <t>42.9%</t>
  </si>
  <si>
    <t>49.2%</t>
  </si>
  <si>
    <t>President</t>
  </si>
  <si>
    <t>Vote %</t>
  </si>
  <si>
    <t>Election</t>
  </si>
  <si>
    <t>Bill Clinton</t>
  </si>
  <si>
    <t>Player</t>
  </si>
  <si>
    <t>Position</t>
  </si>
  <si>
    <t>Team</t>
  </si>
  <si>
    <t>Santana Moss</t>
  </si>
  <si>
    <t>WR</t>
  </si>
  <si>
    <t>WAS</t>
  </si>
  <si>
    <t>David Patten</t>
  </si>
  <si>
    <t>Darnerien McCants</t>
  </si>
  <si>
    <t>James Thrash</t>
  </si>
  <si>
    <t>Taylor Jacobs</t>
  </si>
  <si>
    <t>Kevin Dyson</t>
  </si>
  <si>
    <t>Jimmy Farris</t>
  </si>
  <si>
    <t>Chris Cooley</t>
  </si>
  <si>
    <t>TE</t>
  </si>
  <si>
    <t>Robert Royal</t>
  </si>
  <si>
    <t>Jabari Holloway</t>
  </si>
  <si>
    <t>Brian Kozlowski</t>
  </si>
  <si>
    <t>Mike Sellers</t>
  </si>
  <si>
    <t>Billy Baber</t>
  </si>
  <si>
    <t>Drew Bennett</t>
  </si>
  <si>
    <t>TEN</t>
  </si>
  <si>
    <t>Tyrone Calico</t>
  </si>
  <si>
    <t>Brandon Jones</t>
  </si>
  <si>
    <t>Courtney Roby</t>
  </si>
  <si>
    <t>Roydell Williams</t>
  </si>
  <si>
    <t>Ben Troupe</t>
  </si>
  <si>
    <t>Erron Kinney</t>
  </si>
  <si>
    <t>Bo Scaife</t>
  </si>
  <si>
    <t>Ben Hall</t>
  </si>
  <si>
    <t>Steve Cucci</t>
  </si>
  <si>
    <t>Michael Clayton</t>
  </si>
  <si>
    <t>TB</t>
  </si>
  <si>
    <t>Joey Galloway</t>
  </si>
  <si>
    <t>Ike Hilliard</t>
  </si>
  <si>
    <t>Edell Shepherd</t>
  </si>
  <si>
    <t>Anthony DiCosmo</t>
  </si>
  <si>
    <t>Anthony Becht</t>
  </si>
  <si>
    <t>Alex Smith</t>
  </si>
  <si>
    <t>Will Heller</t>
  </si>
  <si>
    <t>Dave Moore</t>
  </si>
  <si>
    <t>Nate Lawrie</t>
  </si>
  <si>
    <t>Torry Holt</t>
  </si>
  <si>
    <t>STL</t>
  </si>
  <si>
    <t>Isaac Bruce</t>
  </si>
  <si>
    <t>Kevin Curtis</t>
  </si>
  <si>
    <t>Shaun McDonald</t>
  </si>
  <si>
    <t>Dane Looker</t>
  </si>
  <si>
    <t>Mike Furrey</t>
  </si>
  <si>
    <t>Brandon Manumaleuna</t>
  </si>
  <si>
    <t>Roland Williams</t>
  </si>
  <si>
    <t>Dauntae Finger</t>
  </si>
  <si>
    <t>Mike Brake</t>
  </si>
  <si>
    <t>Erik Jensen</t>
  </si>
  <si>
    <t>Brandon Lloyd</t>
  </si>
  <si>
    <t>SF</t>
  </si>
  <si>
    <t>Johnnie Morton</t>
  </si>
  <si>
    <t>Arnaz Battle</t>
  </si>
  <si>
    <t>Rashaun Woods</t>
  </si>
  <si>
    <t>Jason McAddley</t>
  </si>
  <si>
    <t>P.J. Fleck</t>
  </si>
  <si>
    <t>Marcus Maxwell</t>
  </si>
  <si>
    <t>Javin Hunter</t>
  </si>
  <si>
    <t>Eric Johnson</t>
  </si>
  <si>
    <t>Steve Bush</t>
  </si>
  <si>
    <t>Aaron Walker</t>
  </si>
  <si>
    <t>Neil Johnson</t>
  </si>
  <si>
    <t>Patrick Estes</t>
  </si>
  <si>
    <t>Darrell Jackson</t>
  </si>
  <si>
    <t>SEA</t>
  </si>
  <si>
    <t>Bobby Engram</t>
  </si>
  <si>
    <t>Jerome Pathon</t>
  </si>
  <si>
    <t>Bobby Shaw</t>
  </si>
  <si>
    <t>Joe Jurevicius</t>
  </si>
  <si>
    <t>Jerheme Urban</t>
  </si>
  <si>
    <t>Alex Bannister</t>
  </si>
  <si>
    <t>Jerramy Stevens</t>
  </si>
  <si>
    <t>Itula Mili</t>
  </si>
  <si>
    <t>Ryan Hannam</t>
  </si>
  <si>
    <t>Brock Edwards</t>
  </si>
  <si>
    <t>Calen Powell</t>
  </si>
  <si>
    <t>Keenan McCardell</t>
  </si>
  <si>
    <t>SD</t>
  </si>
  <si>
    <t>Reche Caldwell</t>
  </si>
  <si>
    <t>Eric Parker</t>
  </si>
  <si>
    <t>Kassim Osgood</t>
  </si>
  <si>
    <t>Vincent Jackson</t>
  </si>
  <si>
    <t>Malcom Floyd</t>
  </si>
  <si>
    <t>Antonio Gates</t>
  </si>
  <si>
    <t>Ryan Krause</t>
  </si>
  <si>
    <t>Justin Peelle</t>
  </si>
  <si>
    <t>Cody McCarty</t>
  </si>
  <si>
    <t>Danny Young</t>
  </si>
  <si>
    <t>Hines Ward</t>
  </si>
  <si>
    <t>PIT</t>
  </si>
  <si>
    <t>Antwaan Randle-El</t>
  </si>
  <si>
    <t>Cedrick Wilson</t>
  </si>
  <si>
    <t>Chris Doering</t>
  </si>
  <si>
    <t>Lee Mays</t>
  </si>
  <si>
    <t>Fred Gibson</t>
  </si>
  <si>
    <t>Heath Miller</t>
  </si>
  <si>
    <t>Jerame Tuman</t>
  </si>
  <si>
    <t>Walter Rasby</t>
  </si>
  <si>
    <t>Matt Cushing</t>
  </si>
  <si>
    <t>Matt Kranchick</t>
  </si>
  <si>
    <t>Terrell Owens</t>
  </si>
  <si>
    <t>PHI</t>
  </si>
  <si>
    <t>Greg Lewis</t>
  </si>
  <si>
    <t>Reggie Brown</t>
  </si>
  <si>
    <t>Todd Pinkston</t>
  </si>
  <si>
    <t>Billy McMullen</t>
  </si>
  <si>
    <t>L.J. Smith</t>
  </si>
  <si>
    <t>Chad Lewis</t>
  </si>
  <si>
    <t>James Whalen</t>
  </si>
  <si>
    <t>Mike Bartrum</t>
  </si>
  <si>
    <t>Andy Thorn</t>
  </si>
  <si>
    <t>Randy Moss</t>
  </si>
  <si>
    <t>OAK</t>
  </si>
  <si>
    <t>Jerry Porter</t>
  </si>
  <si>
    <t>Ronald Curry</t>
  </si>
  <si>
    <t>Doug Gabriel</t>
  </si>
  <si>
    <t>Alvis Whitted</t>
  </si>
  <si>
    <t>John Stone</t>
  </si>
  <si>
    <t>Johnnie Morant</t>
  </si>
  <si>
    <t>Randal Williams</t>
  </si>
  <si>
    <t>Teyo Johnson</t>
  </si>
  <si>
    <t>Courtney Anderson</t>
  </si>
  <si>
    <t>Josh Norman</t>
  </si>
  <si>
    <t>Rickey Dudley</t>
  </si>
  <si>
    <t>John Paul Foschi</t>
  </si>
  <si>
    <t>Laveranues Coles</t>
  </si>
  <si>
    <t>NYJ</t>
  </si>
  <si>
    <t>Justin McCareins</t>
  </si>
  <si>
    <t>Wayne Chrebet</t>
  </si>
  <si>
    <t>Jerricho Cotchery</t>
  </si>
  <si>
    <t>Jonathan Carter</t>
  </si>
  <si>
    <t>Doug Jolley</t>
  </si>
  <si>
    <t>Chris Baker</t>
  </si>
  <si>
    <t>Joel Dreessen</t>
  </si>
  <si>
    <t>Matthew Chila</t>
  </si>
  <si>
    <t>James Dearth</t>
  </si>
  <si>
    <t>Plaxico Burress</t>
  </si>
  <si>
    <t>NYG</t>
  </si>
  <si>
    <t>Amani Toomer</t>
  </si>
  <si>
    <t>Tim Carter</t>
  </si>
  <si>
    <t>David Tyree</t>
  </si>
  <si>
    <t>Willie Ponder</t>
  </si>
  <si>
    <t>Jamaar Taylor</t>
  </si>
  <si>
    <t>Zuriel Smith</t>
  </si>
  <si>
    <t>Jeremy Shockey</t>
  </si>
  <si>
    <t>Visanthe Shiancoe</t>
  </si>
  <si>
    <t>Chris Luzar</t>
  </si>
  <si>
    <t>Darius Williams</t>
  </si>
  <si>
    <t>Beau Fullerton</t>
  </si>
  <si>
    <t>Joe Horn</t>
  </si>
  <si>
    <t>NO</t>
  </si>
  <si>
    <t>Donte' Stallworth</t>
  </si>
  <si>
    <t>Az-Zahir Hakim</t>
  </si>
  <si>
    <t>Devery Henderson</t>
  </si>
  <si>
    <t>Talman Gardner</t>
  </si>
  <si>
    <t>Michael Lewis</t>
  </si>
  <si>
    <t>Nate Poole</t>
  </si>
  <si>
    <t>Boo Williams</t>
  </si>
  <si>
    <t>Ernie Conwell</t>
  </si>
  <si>
    <t>Shad Meier</t>
  </si>
  <si>
    <t>Zach Hilton</t>
  </si>
  <si>
    <t>Lamont Hall</t>
  </si>
  <si>
    <t>Deion Branch</t>
  </si>
  <si>
    <t>NE</t>
  </si>
  <si>
    <t>David Givens</t>
  </si>
  <si>
    <t>David Terrell</t>
  </si>
  <si>
    <t>Bethel Johnson</t>
  </si>
  <si>
    <t>Troy Brown</t>
  </si>
  <si>
    <t>Tim Dwight</t>
  </si>
  <si>
    <t>Cedric James</t>
  </si>
  <si>
    <t>Ben Watson</t>
  </si>
  <si>
    <t>Daniel Graham</t>
  </si>
  <si>
    <t>Christian Fauria</t>
  </si>
  <si>
    <t>Jed Weaver</t>
  </si>
  <si>
    <t>John Lumpkin</t>
  </si>
  <si>
    <t>Nate Burleson</t>
  </si>
  <si>
    <t>MIN</t>
  </si>
  <si>
    <t>Troy Williamson</t>
  </si>
  <si>
    <t>Marcus Robinson</t>
  </si>
  <si>
    <t>Travis Taylor</t>
  </si>
  <si>
    <t>Kelly Campbell</t>
  </si>
  <si>
    <t>Daryl Jones</t>
  </si>
  <si>
    <t>Avion Black</t>
  </si>
  <si>
    <t>Keenan Howry</t>
  </si>
  <si>
    <t>Jermaine Wiggins</t>
  </si>
  <si>
    <t>Jimmy Kleinsasser</t>
  </si>
  <si>
    <t>Richard Owens</t>
  </si>
  <si>
    <t>Sean Berton</t>
  </si>
  <si>
    <t>Jeff Dugan</t>
  </si>
  <si>
    <t>Chris Chambers</t>
  </si>
  <si>
    <t>MIA</t>
  </si>
  <si>
    <t>Marty Booker</t>
  </si>
  <si>
    <t>David Boston</t>
  </si>
  <si>
    <t>Derrius Thompson</t>
  </si>
  <si>
    <t>Bryan Gilmore</t>
  </si>
  <si>
    <t>Danny Farmer</t>
  </si>
  <si>
    <t>Kendall Newson</t>
  </si>
  <si>
    <t>Randy McMichael</t>
  </si>
  <si>
    <t>Donald Lee</t>
  </si>
  <si>
    <t>Alex Holmes</t>
  </si>
  <si>
    <t>Ed Perry</t>
  </si>
  <si>
    <t>Jason Rader</t>
  </si>
  <si>
    <t>Eddie Kennison</t>
  </si>
  <si>
    <t>KC</t>
  </si>
  <si>
    <t>Samie Parker</t>
  </si>
  <si>
    <t>Marc Boerigter</t>
  </si>
  <si>
    <t>Freddie Mitchell</t>
  </si>
  <si>
    <t>Dante Hall</t>
  </si>
  <si>
    <t>Craphonso Thorpe</t>
  </si>
  <si>
    <t>Chris Horn</t>
  </si>
  <si>
    <t>Tony Gonzalez</t>
  </si>
  <si>
    <t>Kris Wilson</t>
  </si>
  <si>
    <t>Jason Dunn</t>
  </si>
  <si>
    <t>Edwin Thompson</t>
  </si>
  <si>
    <t>Mike Kallfelz</t>
  </si>
  <si>
    <t>Jimmy Smith</t>
  </si>
  <si>
    <t>JAC</t>
  </si>
  <si>
    <t>Reggie Williams</t>
  </si>
  <si>
    <t>Matt Jones</t>
  </si>
  <si>
    <t>Ernest Wilford</t>
  </si>
  <si>
    <t>Troy Edwards</t>
  </si>
  <si>
    <t>Cortez Hankton</t>
  </si>
  <si>
    <t>Chris Cole</t>
  </si>
  <si>
    <t>George Wrighster</t>
  </si>
  <si>
    <t>Kyle Brady</t>
  </si>
  <si>
    <t>Todd Yoder</t>
  </si>
  <si>
    <t>Brian Jones</t>
  </si>
  <si>
    <t>Cam Quayle</t>
  </si>
  <si>
    <t>Marvin Harrison</t>
  </si>
  <si>
    <t>IND</t>
  </si>
  <si>
    <t>Reggie Wayne</t>
  </si>
  <si>
    <t>Brandon Stokley</t>
  </si>
  <si>
    <t>Troy Walters</t>
  </si>
  <si>
    <t>Aaron Moorehead</t>
  </si>
  <si>
    <t>Brad Pyatt</t>
  </si>
  <si>
    <t>Dallas Clark</t>
  </si>
  <si>
    <t>Ben Hartsock</t>
  </si>
  <si>
    <t>Ben Utecht</t>
  </si>
  <si>
    <t>Joey Hawkins</t>
  </si>
  <si>
    <t>Joe Kuykendall</t>
  </si>
  <si>
    <t>Andre Johnson</t>
  </si>
  <si>
    <t>HOU</t>
  </si>
  <si>
    <t>Jabar Gaffney</t>
  </si>
  <si>
    <t>Corey Bradford</t>
  </si>
  <si>
    <t>Jerome Mathis</t>
  </si>
  <si>
    <t>Derick Armstrong</t>
  </si>
  <si>
    <t>Reggie Swinton</t>
  </si>
  <si>
    <t>Billy Miller</t>
  </si>
  <si>
    <t>Marcellus Rivers</t>
  </si>
  <si>
    <t>Mark Bruener</t>
  </si>
  <si>
    <t>Bennie Joppru</t>
  </si>
  <si>
    <t>Aaron Halterman</t>
  </si>
  <si>
    <t>Javon Walker</t>
  </si>
  <si>
    <t>GB</t>
  </si>
  <si>
    <t>Donald Driver</t>
  </si>
  <si>
    <t>Robert Ferguson</t>
  </si>
  <si>
    <t>Antonio Chatman</t>
  </si>
  <si>
    <t>Terrence Murphy</t>
  </si>
  <si>
    <t>Craig Bragg</t>
  </si>
  <si>
    <t>Andrae Thurman</t>
  </si>
  <si>
    <t>Bubba Franks</t>
  </si>
  <si>
    <t>David Martin</t>
  </si>
  <si>
    <t>Ben Steele</t>
  </si>
  <si>
    <t>Alphonso Collins</t>
  </si>
  <si>
    <t>Steve Fleming</t>
  </si>
  <si>
    <t>Roy Williams</t>
  </si>
  <si>
    <t>DET</t>
  </si>
  <si>
    <t>Charles Rogers</t>
  </si>
  <si>
    <t>Mike Williams</t>
  </si>
  <si>
    <t>Tai Streets</t>
  </si>
  <si>
    <t>Kevin Johnson</t>
  </si>
  <si>
    <t>Scott Vines</t>
  </si>
  <si>
    <t>David Kircus</t>
  </si>
  <si>
    <t>Eddie Drummond</t>
  </si>
  <si>
    <t>Marcus Pollard</t>
  </si>
  <si>
    <t>Casey Fitzsimmons</t>
  </si>
  <si>
    <t>Justin Swift</t>
  </si>
  <si>
    <t>Khary Jackson</t>
  </si>
  <si>
    <t>Leonard Stephens</t>
  </si>
  <si>
    <t>Ashley Lelie</t>
  </si>
  <si>
    <t>DEN</t>
  </si>
  <si>
    <t>Rod Smith</t>
  </si>
  <si>
    <t>Darius Watts</t>
  </si>
  <si>
    <t>Jerry Rice</t>
  </si>
  <si>
    <t>Nate Jackson</t>
  </si>
  <si>
    <t>Triandos Luke</t>
  </si>
  <si>
    <t>Jeb Putzier</t>
  </si>
  <si>
    <t>Stephen Alexander</t>
  </si>
  <si>
    <t>Patrick Hape</t>
  </si>
  <si>
    <t>Dwayne Carswell</t>
  </si>
  <si>
    <t>Mike Leach</t>
  </si>
  <si>
    <t>Keyshawn Johnson</t>
  </si>
  <si>
    <t>DAL</t>
  </si>
  <si>
    <t>Terry Glenn</t>
  </si>
  <si>
    <t>Quincy Morgan</t>
  </si>
  <si>
    <t>Patrick Crayton</t>
  </si>
  <si>
    <t>Terrance Copper</t>
  </si>
  <si>
    <t>Ahmad Merritt</t>
  </si>
  <si>
    <t>Jason Witten</t>
  </si>
  <si>
    <t>Dan Campbell</t>
  </si>
  <si>
    <t>Tony Curtis</t>
  </si>
  <si>
    <t>Sean Ryan</t>
  </si>
  <si>
    <t>Brett Pierce</t>
  </si>
  <si>
    <t>Antonio Bryant</t>
  </si>
  <si>
    <t>CLE</t>
  </si>
  <si>
    <t>Braylon Edwards</t>
  </si>
  <si>
    <t>Andre Davis</t>
  </si>
  <si>
    <t>Dennis Northcutt</t>
  </si>
  <si>
    <t>Frisman Jackson</t>
  </si>
  <si>
    <t>Steve Heiden</t>
  </si>
  <si>
    <t>Aaron Shea</t>
  </si>
  <si>
    <t>Keith Heinrich</t>
  </si>
  <si>
    <t>Keith Willis</t>
  </si>
  <si>
    <t>Ivory McCoy</t>
  </si>
  <si>
    <t>Chad Johnson</t>
  </si>
  <si>
    <t>CIN</t>
  </si>
  <si>
    <t>T.J. Houshmandzadeh</t>
  </si>
  <si>
    <t>Peter Warrick</t>
  </si>
  <si>
    <t>Kelley Washington</t>
  </si>
  <si>
    <t>Chris Henry</t>
  </si>
  <si>
    <t>Kevin Walter</t>
  </si>
  <si>
    <t>Cliff Russell</t>
  </si>
  <si>
    <t>Matt Schobel</t>
  </si>
  <si>
    <t>Reggie Kelly</t>
  </si>
  <si>
    <t>Tony Stewart</t>
  </si>
  <si>
    <t>Brad St. Louis</t>
  </si>
  <si>
    <t>Michael Woolridge</t>
  </si>
  <si>
    <t>Muhsin Muhammad</t>
  </si>
  <si>
    <t>CHI</t>
  </si>
  <si>
    <t>Justin Gage</t>
  </si>
  <si>
    <t>Bernard Berrian</t>
  </si>
  <si>
    <t>Bobby Wade</t>
  </si>
  <si>
    <t>Eddie Berlin</t>
  </si>
  <si>
    <t>Mark Bradley</t>
  </si>
  <si>
    <t>Ron Johnson</t>
  </si>
  <si>
    <t>Desmond Clark</t>
  </si>
  <si>
    <t>Dustin Lyman</t>
  </si>
  <si>
    <t>Darnell Sanders</t>
  </si>
  <si>
    <t>John Gilmore</t>
  </si>
  <si>
    <t>John Owens</t>
  </si>
  <si>
    <t>Steve Smith</t>
  </si>
  <si>
    <t>CAR</t>
  </si>
  <si>
    <t>Keary Colbert</t>
  </si>
  <si>
    <t>Rod Gardner</t>
  </si>
  <si>
    <t>Ricky Proehl</t>
  </si>
  <si>
    <t>Drew Carter</t>
  </si>
  <si>
    <t>Karl Hankton</t>
  </si>
  <si>
    <t>Kris Mangum</t>
  </si>
  <si>
    <t>Mike Seidman</t>
  </si>
  <si>
    <t>Chad Mustard</t>
  </si>
  <si>
    <t>Michael Gaines</t>
  </si>
  <si>
    <t>Dan Curley</t>
  </si>
  <si>
    <t>Lee Evans</t>
  </si>
  <si>
    <t>BUF</t>
  </si>
  <si>
    <t>Eric Moulds</t>
  </si>
  <si>
    <t>Roscoe Parrish</t>
  </si>
  <si>
    <t>Sam Aiken</t>
  </si>
  <si>
    <t>Josh Reed</t>
  </si>
  <si>
    <t>Mark Campbell</t>
  </si>
  <si>
    <t>Tim Euhus</t>
  </si>
  <si>
    <t>Rod Trafford</t>
  </si>
  <si>
    <t>Kevin Everett</t>
  </si>
  <si>
    <t>Brad Cieslak</t>
  </si>
  <si>
    <t>Derrick Mason</t>
  </si>
  <si>
    <t>BAL</t>
  </si>
  <si>
    <t>Mark Clayton</t>
  </si>
  <si>
    <t>Clarence Moore</t>
  </si>
  <si>
    <t>Randy Hymes</t>
  </si>
  <si>
    <t>Devard Darling</t>
  </si>
  <si>
    <t>Patrick Johnson</t>
  </si>
  <si>
    <t>Todd Heap</t>
  </si>
  <si>
    <t>Terry Jones</t>
  </si>
  <si>
    <t>Daniel Wilcox</t>
  </si>
  <si>
    <t>Darnell Dinkins</t>
  </si>
  <si>
    <t>Trent Smith</t>
  </si>
  <si>
    <t>Michael Jenkins</t>
  </si>
  <si>
    <t>ATL</t>
  </si>
  <si>
    <t>Peerless Price</t>
  </si>
  <si>
    <t>Dez White</t>
  </si>
  <si>
    <t>Brian Finneran</t>
  </si>
  <si>
    <t>Roddy White</t>
  </si>
  <si>
    <t>Alge Crumpler</t>
  </si>
  <si>
    <t>Dwayne Blakley</t>
  </si>
  <si>
    <t>Mark Anelli</t>
  </si>
  <si>
    <t>Derek Rackley</t>
  </si>
  <si>
    <t>David Rackley</t>
  </si>
  <si>
    <t>Larry Fitzgerald</t>
  </si>
  <si>
    <t>ARI</t>
  </si>
  <si>
    <t>Anquan Boldin</t>
  </si>
  <si>
    <t>Bryant Johnson</t>
  </si>
  <si>
    <t>Charles Lee</t>
  </si>
  <si>
    <t>Lawrence Hamilton</t>
  </si>
  <si>
    <t>Reggie Newhouse</t>
  </si>
  <si>
    <t>Eric Edwards</t>
  </si>
  <si>
    <t>Adam Bergen</t>
  </si>
  <si>
    <t>Robert Blizzard</t>
  </si>
  <si>
    <t>Andy Stokes</t>
  </si>
  <si>
    <t>John Bronson</t>
  </si>
  <si>
    <t>Catches</t>
  </si>
  <si>
    <t>Yards</t>
  </si>
  <si>
    <t>Conference</t>
  </si>
  <si>
    <t>National</t>
  </si>
  <si>
    <t>American</t>
  </si>
  <si>
    <r>
      <t>exercise 3:</t>
    </r>
    <r>
      <rPr>
        <sz val="12"/>
        <rFont val="Gill Sans MT"/>
        <family val="2"/>
      </rPr>
      <t xml:space="preserve"> Create a sentence that looks like this "Bill Clinton won the 1996 election with 49.2% of the popular vote"</t>
    </r>
  </si>
  <si>
    <t>exercise 1: delete the red columns and rows</t>
  </si>
  <si>
    <t>exercise 1</t>
  </si>
  <si>
    <t>exercise 2</t>
  </si>
  <si>
    <t>exercise 3</t>
  </si>
  <si>
    <r>
      <t>exercise 1:</t>
    </r>
    <r>
      <rPr>
        <sz val="12"/>
        <rFont val="Gill Sans MT"/>
        <family val="2"/>
      </rPr>
      <t xml:space="preserve"> Capture the year from the election column</t>
    </r>
  </si>
  <si>
    <r>
      <t>exercise 2:</t>
    </r>
    <r>
      <rPr>
        <sz val="12"/>
        <rFont val="Gill Sans MT"/>
        <family val="2"/>
      </rPr>
      <t xml:space="preserve"> Use a text formula to get rid of the * in front of the president's name</t>
    </r>
  </si>
  <si>
    <t>Answers</t>
  </si>
  <si>
    <t>Name</t>
  </si>
  <si>
    <t>=B5&amp;" "&amp;C5</t>
  </si>
  <si>
    <t>Tammy</t>
  </si>
  <si>
    <t>Smith</t>
  </si>
  <si>
    <t>Ashley</t>
  </si>
  <si>
    <t>Hall</t>
  </si>
  <si>
    <t>Brandon</t>
  </si>
  <si>
    <t>Johnson</t>
  </si>
  <si>
    <t>Jeremy</t>
  </si>
  <si>
    <t>Halverson</t>
  </si>
  <si>
    <t>Tammy Smith</t>
  </si>
  <si>
    <t>=LEFT(B14,FIND(" ",B14)-1)</t>
  </si>
  <si>
    <t>=MID(B14,FIND(" ",B14)+1,20)</t>
  </si>
  <si>
    <t>Ashley Hall</t>
  </si>
  <si>
    <t>Brandon Johnson</t>
  </si>
  <si>
    <t>Jeremy Halverson</t>
  </si>
  <si>
    <t>Smith, Tammy</t>
  </si>
  <si>
    <t>=MID(B23,FIND(" ",B23)+1,20)</t>
  </si>
  <si>
    <t>=LEFT(B23,FIND(",",B23)-1)</t>
  </si>
  <si>
    <t>Hall, Ashley</t>
  </si>
  <si>
    <t>Johnson, Brandon</t>
  </si>
  <si>
    <t>Halverson, Jeremy</t>
  </si>
  <si>
    <t>Initials</t>
  </si>
  <si>
    <t>=LEFT(B32,1)&amp;MID(B32,FIND(" ",B32)+1,1)</t>
  </si>
  <si>
    <t>exercise 4: Create a column that contains the initials of the given names:</t>
  </si>
  <si>
    <t>exercise 3: Split the name into 2 different columns:</t>
  </si>
  <si>
    <t>exercise 2: Split the name into 2 different columns:</t>
  </si>
  <si>
    <t>exercise 1: create a column containing the full name:</t>
  </si>
  <si>
    <t>Takes num-characters from the right side of text</t>
  </si>
  <si>
    <t xml:space="preserve"> </t>
  </si>
  <si>
    <t>=text1&amp;text2</t>
  </si>
  <si>
    <t>Glues text1 and text2 together</t>
  </si>
  <si>
    <t>=RIGHT(text, [num-characters])</t>
  </si>
  <si>
    <t>=LEFT(text, [num-characters])</t>
  </si>
  <si>
    <t>=MID(text, start-position, num-characters)</t>
  </si>
  <si>
    <t>Takes num-characters from the left side of text</t>
  </si>
  <si>
    <t>Takes num-characters from text starting at start-position</t>
  </si>
  <si>
    <t>=FIND(text-to-find, within-text, [start-position])</t>
  </si>
  <si>
    <t>For basic cases, you don't need start-position</t>
  </si>
  <si>
    <t>Finds text-to-find within within-text and returns the character location of the text</t>
  </si>
  <si>
    <t>Use a large number (like 999) for num-characters if you want to get all the remaining characters in a string</t>
  </si>
  <si>
    <t>Text</t>
  </si>
  <si>
    <t>Formula</t>
  </si>
  <si>
    <t>Result</t>
  </si>
  <si>
    <t>Conference?</t>
  </si>
  <si>
    <t>Value you are trying to match</t>
  </si>
  <si>
    <t>Table of data you are looking in to find the match</t>
  </si>
  <si>
    <t>The column of the value you want to return</t>
  </si>
  <si>
    <t>Should always be "FALSE"</t>
  </si>
  <si>
    <t>=VLOOKUP(lookup_value,table_array,col_index_num,range_lookup)</t>
  </si>
  <si>
    <t>exercise 1: Find the corresponding conference each player is in</t>
  </si>
  <si>
    <t>Table 1:</t>
  </si>
  <si>
    <t>Table 2:</t>
  </si>
  <si>
    <t>exercise 3: Find the corresponding conference each player is in using "Table 2" from the previous worksheet</t>
  </si>
  <si>
    <t>exercise 2: Find the corresponding conference each player is in for all 375 players</t>
  </si>
  <si>
    <t>The table_array should always be an absolute reference ($ before column and row values)</t>
  </si>
  <si>
    <r>
      <t>Example</t>
    </r>
    <r>
      <rPr>
        <b/>
        <sz val="10"/>
        <rFont val="Gill Sans MT"/>
        <family val="2"/>
      </rPr>
      <t>: This vlookup returns the conference Baltimore belongs to:</t>
    </r>
  </si>
  <si>
    <r>
      <t>=VLOOKUP(</t>
    </r>
    <r>
      <rPr>
        <sz val="10"/>
        <color indexed="10"/>
        <rFont val="Gill Sans MT"/>
        <family val="2"/>
      </rPr>
      <t>D14</t>
    </r>
    <r>
      <rPr>
        <sz val="10"/>
        <rFont val="Gill Sans MT"/>
        <family val="2"/>
      </rPr>
      <t>,</t>
    </r>
    <r>
      <rPr>
        <sz val="10"/>
        <color indexed="12"/>
        <rFont val="Gill Sans MT"/>
        <family val="2"/>
      </rPr>
      <t>$F$14:$G$19</t>
    </r>
    <r>
      <rPr>
        <sz val="10"/>
        <rFont val="Gill Sans MT"/>
        <family val="2"/>
      </rPr>
      <t>,2,FALSE)</t>
    </r>
  </si>
  <si>
    <t>The col_index_num is relative to the table_array, not the column of the Excel worksheet</t>
  </si>
  <si>
    <t>Data Filters</t>
  </si>
  <si>
    <t>Filtered rows have blue numbers</t>
  </si>
  <si>
    <t>Filtered columns have a blue arrow</t>
  </si>
  <si>
    <r>
      <t>Alt + D + F + F    (</t>
    </r>
    <r>
      <rPr>
        <b/>
        <u/>
        <sz val="10"/>
        <rFont val="Gill Sans MT"/>
        <family val="2"/>
      </rPr>
      <t>D</t>
    </r>
    <r>
      <rPr>
        <b/>
        <sz val="10"/>
        <rFont val="Gill Sans MT"/>
        <family val="2"/>
      </rPr>
      <t xml:space="preserve">ata - </t>
    </r>
    <r>
      <rPr>
        <b/>
        <u/>
        <sz val="10"/>
        <rFont val="Gill Sans MT"/>
        <family val="2"/>
      </rPr>
      <t>F</t>
    </r>
    <r>
      <rPr>
        <b/>
        <sz val="10"/>
        <rFont val="Gill Sans MT"/>
        <family val="2"/>
      </rPr>
      <t>ilter - Auto</t>
    </r>
    <r>
      <rPr>
        <b/>
        <u/>
        <sz val="10"/>
        <rFont val="Gill Sans MT"/>
        <family val="2"/>
      </rPr>
      <t>F</t>
    </r>
    <r>
      <rPr>
        <b/>
        <sz val="10"/>
        <rFont val="Gill Sans MT"/>
        <family val="2"/>
      </rPr>
      <t>ilter)</t>
    </r>
  </si>
  <si>
    <t>column1</t>
  </si>
  <si>
    <t>column2</t>
  </si>
  <si>
    <t>column3</t>
  </si>
  <si>
    <t>abc</t>
  </si>
  <si>
    <t>Use</t>
  </si>
  <si>
    <t>To find</t>
  </si>
  <si>
    <t>? (question mark)</t>
  </si>
  <si>
    <t>Any single character</t>
  </si>
  <si>
    <t>For example, sm?th finds "smith" and "smyth"</t>
  </si>
  <si>
    <t>* (asterisk)</t>
  </si>
  <si>
    <t>Any number of characters</t>
  </si>
  <si>
    <t>For example, *east finds "Northeast" and "Southeast"</t>
  </si>
  <si>
    <t>~ (tilde) followed by ?, *, or ~</t>
  </si>
  <si>
    <t>A question mark, asterisk, or tilde</t>
  </si>
  <si>
    <t>For example, fy91~? finds "fy91?"</t>
  </si>
  <si>
    <t>Wildcards:</t>
  </si>
  <si>
    <t>exercise 2: Find all the players whose first name is "Alex"</t>
  </si>
  <si>
    <t>All rows not matching the selected criteria are hidden</t>
  </si>
  <si>
    <t>Click on the data filter to show a list of all unique entries in that column</t>
  </si>
  <si>
    <t>=REPT(text,number_times)</t>
  </si>
  <si>
    <t>=REPT("X",10)</t>
  </si>
  <si>
    <t>=REPT("Oh, No! ",3)</t>
  </si>
  <si>
    <t>=REPT("|",30)</t>
  </si>
  <si>
    <t>&lt;== 8 pt Arial</t>
  </si>
  <si>
    <t xml:space="preserve"> Name</t>
  </si>
  <si>
    <t xml:space="preserve">AB  </t>
  </si>
  <si>
    <t xml:space="preserve">AVG  </t>
  </si>
  <si>
    <t xml:space="preserve">HR  </t>
  </si>
  <si>
    <t xml:space="preserve">BB  </t>
  </si>
  <si>
    <t xml:space="preserve">K  </t>
  </si>
  <si>
    <t>BB-K</t>
  </si>
  <si>
    <t xml:space="preserve">Nomar Garciaparra </t>
  </si>
  <si>
    <t xml:space="preserve">Albert Pujols </t>
  </si>
  <si>
    <t xml:space="preserve">Scott Hatteberg </t>
  </si>
  <si>
    <t xml:space="preserve">Lance Berkman </t>
  </si>
  <si>
    <t xml:space="preserve">Travis Hafner </t>
  </si>
  <si>
    <t xml:space="preserve">Justin Morneau </t>
  </si>
  <si>
    <t xml:space="preserve">Lyle Overbay </t>
  </si>
  <si>
    <t xml:space="preserve">Paul Konerko </t>
  </si>
  <si>
    <t xml:space="preserve">Nick Johnson </t>
  </si>
  <si>
    <t xml:space="preserve">Shea Hillenbrand </t>
  </si>
  <si>
    <t xml:space="preserve">Adrián González </t>
  </si>
  <si>
    <t xml:space="preserve">Jim Thome </t>
  </si>
  <si>
    <t xml:space="preserve">Kevin Youkilis </t>
  </si>
  <si>
    <t xml:space="preserve">Mike Jacobs </t>
  </si>
  <si>
    <t xml:space="preserve">Todd Helton </t>
  </si>
  <si>
    <t xml:space="preserve">Todd Walker </t>
  </si>
  <si>
    <t xml:space="preserve">Ryan Howard </t>
  </si>
  <si>
    <t xml:space="preserve">Doug Mientkiewicz </t>
  </si>
  <si>
    <t xml:space="preserve">Prince Fielder </t>
  </si>
  <si>
    <t xml:space="preserve">Michael Cuddyer </t>
  </si>
  <si>
    <t xml:space="preserve">Chris Shelton </t>
  </si>
  <si>
    <t xml:space="preserve">Adam LaRoche </t>
  </si>
  <si>
    <t xml:space="preserve">Mark Teixeira </t>
  </si>
  <si>
    <t xml:space="preserve">Conor Jackson </t>
  </si>
  <si>
    <t xml:space="preserve">Jeff Conine </t>
  </si>
  <si>
    <t xml:space="preserve">Nick Swisher </t>
  </si>
  <si>
    <t xml:space="preserve">Jason Giambi </t>
  </si>
  <si>
    <t xml:space="preserve">Carlos Delgado </t>
  </si>
  <si>
    <t xml:space="preserve">Adam Dunn </t>
  </si>
  <si>
    <t xml:space="preserve">Brad Wilkerson </t>
  </si>
  <si>
    <t xml:space="preserve">Richie Sexson </t>
  </si>
  <si>
    <t>AVG</t>
  </si>
  <si>
    <t>HR</t>
  </si>
  <si>
    <t>BB</t>
  </si>
  <si>
    <t>K</t>
  </si>
  <si>
    <t>AB</t>
  </si>
  <si>
    <t>This conditional format shades every</t>
  </si>
  <si>
    <t>other line grey and will maintain the shading</t>
  </si>
  <si>
    <t>even if you sort the table.</t>
  </si>
  <si>
    <t>Try sorting the table to see.</t>
  </si>
  <si>
    <t>Yards Per Catches</t>
  </si>
  <si>
    <t>Graph B</t>
  </si>
  <si>
    <t>Graph A</t>
  </si>
  <si>
    <t>year</t>
  </si>
  <si>
    <t>amount</t>
  </si>
  <si>
    <t>Conditional Formatting</t>
  </si>
  <si>
    <t>Exercise 3: Secondary Axis</t>
  </si>
  <si>
    <t>second metric</t>
  </si>
  <si>
    <t>conditional formatting across cells</t>
  </si>
  <si>
    <r>
      <t>Tip:</t>
    </r>
    <r>
      <rPr>
        <sz val="10"/>
        <rFont val="Gill Sans MT"/>
        <family val="2"/>
      </rPr>
      <t xml:space="preserve"> Use the "Format Painter" function to copy </t>
    </r>
  </si>
  <si>
    <t>1. Make the numbers in this table red if &lt;0, green if &gt;0</t>
  </si>
  <si>
    <t>A</t>
  </si>
  <si>
    <t>B</t>
  </si>
  <si>
    <t>C</t>
  </si>
  <si>
    <t>D</t>
  </si>
  <si>
    <t>E</t>
  </si>
  <si>
    <t>F</t>
  </si>
  <si>
    <t>G</t>
  </si>
  <si>
    <t>H</t>
  </si>
  <si>
    <t>2. Make every third row in this list grey</t>
  </si>
  <si>
    <t>(Hint: The function "Row()" returns a row number)</t>
  </si>
  <si>
    <t>Honey</t>
  </si>
  <si>
    <t>Grapefruit</t>
  </si>
  <si>
    <t>Milk</t>
  </si>
  <si>
    <t>Cinnamon</t>
  </si>
  <si>
    <t>Tea</t>
  </si>
  <si>
    <t>(Hint: The function "Len(text)" returns the number of characters in a string)</t>
  </si>
  <si>
    <t>3. Bold the words in this list that are longer than 8 letters long</t>
  </si>
  <si>
    <t>Conditional Formatting Exercises</t>
  </si>
  <si>
    <r>
      <t xml:space="preserve">What? </t>
    </r>
    <r>
      <rPr>
        <sz val="10"/>
        <rFont val="Gill Sans MT"/>
        <family val="2"/>
      </rPr>
      <t>Conditional formatting allows you to define the format of individual cells based on a series of criteria</t>
    </r>
  </si>
  <si>
    <r>
      <t xml:space="preserve">Why? </t>
    </r>
    <r>
      <rPr>
        <sz val="10"/>
        <rFont val="Gill Sans MT"/>
        <family val="2"/>
      </rPr>
      <t>This feature can be used to make your reports look better or to highlight specific values in a table</t>
    </r>
  </si>
  <si>
    <r>
      <t xml:space="preserve">How? </t>
    </r>
    <r>
      <rPr>
        <sz val="10"/>
        <rFont val="Gill Sans MT"/>
        <family val="2"/>
      </rPr>
      <t>Select "Format -- Conditional Formatting" from the menu to find this dialog box:</t>
    </r>
  </si>
  <si>
    <t>Conditional Formatting, Example 1</t>
  </si>
  <si>
    <t>Here is the conditional formatting behind this table…</t>
  </si>
  <si>
    <t>Conditional Formatting, Example 2</t>
  </si>
  <si>
    <t>Conditional Formatting, Example 4</t>
  </si>
  <si>
    <t>This conditional format automatically colors the bars based on their percentile.</t>
  </si>
  <si>
    <t>The top 25% of values are colored green while the bottom 25% are colored red</t>
  </si>
  <si>
    <t>Text Manipulation</t>
  </si>
  <si>
    <t>Exercise 1</t>
  </si>
  <si>
    <t>Exercise 2</t>
  </si>
  <si>
    <t>Exercise 3</t>
  </si>
  <si>
    <t>(Answers below the fold)</t>
  </si>
  <si>
    <t>=LEFT(D8,4)</t>
  </si>
  <si>
    <t>=MID(B8,3,50)</t>
  </si>
  <si>
    <t>=F8&amp;" won the "&amp;E8&amp;" election with "&amp;C8&amp;" of the popular vote"</t>
  </si>
  <si>
    <t>(Answers to the right)</t>
  </si>
  <si>
    <r>
      <t xml:space="preserve">What? </t>
    </r>
    <r>
      <rPr>
        <sz val="10"/>
        <rFont val="Gill Sans MT"/>
        <family val="2"/>
      </rPr>
      <t>Formulas used to work with text strings, including RIGHT(), LEFT(), MID(), and "&amp;" to glue together text strings</t>
    </r>
  </si>
  <si>
    <r>
      <t xml:space="preserve">Why? </t>
    </r>
    <r>
      <rPr>
        <sz val="10"/>
        <rFont val="Gill Sans MT"/>
        <family val="2"/>
      </rPr>
      <t>These functions allow you to parse and combine text strings. Frequently useful when working with pulled from other data sources</t>
    </r>
  </si>
  <si>
    <t>General</t>
  </si>
  <si>
    <t>Formatting Text In Worksheet</t>
  </si>
  <si>
    <t>New file</t>
  </si>
  <si>
    <t>Ctrl + N</t>
  </si>
  <si>
    <t>Bold toggle for selection</t>
  </si>
  <si>
    <t>Ctrl + B</t>
  </si>
  <si>
    <t>Open file</t>
  </si>
  <si>
    <t>Ctrl + O</t>
  </si>
  <si>
    <t>Italic toggle for selection</t>
  </si>
  <si>
    <t>Ctrl + I</t>
  </si>
  <si>
    <t>Save file</t>
  </si>
  <si>
    <t>Ctrl + S</t>
  </si>
  <si>
    <t>Underline toggle for selection</t>
  </si>
  <si>
    <t>Ctrl + U</t>
  </si>
  <si>
    <t>Move between open workbooks</t>
  </si>
  <si>
    <t>Ctrl + F6</t>
  </si>
  <si>
    <t>Strikethrough for selection</t>
  </si>
  <si>
    <t>Ctrl + 5</t>
  </si>
  <si>
    <t>Close file</t>
  </si>
  <si>
    <t>Ctrl + F4</t>
  </si>
  <si>
    <t>Change the font</t>
  </si>
  <si>
    <t>Ctrl + Shift + F</t>
  </si>
  <si>
    <t>Save as</t>
  </si>
  <si>
    <t>F12</t>
  </si>
  <si>
    <t>Change the font size</t>
  </si>
  <si>
    <t>Ctrl + Shift + P</t>
  </si>
  <si>
    <t>Display the print menu</t>
  </si>
  <si>
    <t>Ctrl + P</t>
  </si>
  <si>
    <t>Apply outline borders</t>
  </si>
  <si>
    <t>Ctrl + Shift + 7</t>
  </si>
  <si>
    <t>Select whole spreadsheet</t>
  </si>
  <si>
    <t>Ctrl + A</t>
  </si>
  <si>
    <t>Remove all borders</t>
  </si>
  <si>
    <t>Ctrl + Shift + Underline</t>
  </si>
  <si>
    <t>Select column</t>
  </si>
  <si>
    <t>Ctrl + Space</t>
  </si>
  <si>
    <t>Wrap text in same cell</t>
  </si>
  <si>
    <t>Alt + Enter</t>
  </si>
  <si>
    <t>Select row</t>
  </si>
  <si>
    <t>Shift + Space</t>
  </si>
  <si>
    <t>Undo last action</t>
  </si>
  <si>
    <t>Ctrl + Z</t>
  </si>
  <si>
    <t>Formatting Cells</t>
  </si>
  <si>
    <t>Redo last action</t>
  </si>
  <si>
    <t>Ctrl + Y</t>
  </si>
  <si>
    <t>Format cells</t>
  </si>
  <si>
    <t>Ctrl + 1</t>
  </si>
  <si>
    <t>Exit Excel</t>
  </si>
  <si>
    <t>Alt + F4</t>
  </si>
  <si>
    <t>Select font</t>
  </si>
  <si>
    <t>Spell Check</t>
  </si>
  <si>
    <t>F7</t>
  </si>
  <si>
    <t>Select font size</t>
  </si>
  <si>
    <t>Cut</t>
  </si>
  <si>
    <t>Ctrl + X</t>
  </si>
  <si>
    <t>Format as number</t>
  </si>
  <si>
    <t>Ctrl + Shift + 1</t>
  </si>
  <si>
    <t>Copy</t>
  </si>
  <si>
    <t>Ctrl + C</t>
  </si>
  <si>
    <t>Format as date</t>
  </si>
  <si>
    <t>Ctrl + Shift + 3</t>
  </si>
  <si>
    <t>Paste</t>
  </si>
  <si>
    <t>Ctrl + V</t>
  </si>
  <si>
    <t>Format as currency</t>
  </si>
  <si>
    <t>Ctrl + Shift + 4</t>
  </si>
  <si>
    <t>Find text</t>
  </si>
  <si>
    <t>Ctrl + F</t>
  </si>
  <si>
    <t>Format as percentage</t>
  </si>
  <si>
    <t>Ctrl + Shift + 5</t>
  </si>
  <si>
    <t>Recalculate</t>
  </si>
  <si>
    <t>F9</t>
  </si>
  <si>
    <t>Editing/Deleting Text</t>
  </si>
  <si>
    <t>Navigating</t>
  </si>
  <si>
    <t>Delete one character to right</t>
  </si>
  <si>
    <t>Delete</t>
  </si>
  <si>
    <t>Move to next cell in row</t>
  </si>
  <si>
    <t>Tab</t>
  </si>
  <si>
    <t>Delete one character to left</t>
  </si>
  <si>
    <t>Backspace</t>
  </si>
  <si>
    <t>Move to previous cell in row</t>
  </si>
  <si>
    <t>Shift + Tab</t>
  </si>
  <si>
    <t>Edit active cell</t>
  </si>
  <si>
    <t>F2</t>
  </si>
  <si>
    <t>Up one screen</t>
  </si>
  <si>
    <t>Page Up</t>
  </si>
  <si>
    <t>Cancel cell entry</t>
  </si>
  <si>
    <t>Escape Key</t>
  </si>
  <si>
    <t>Down one screen</t>
  </si>
  <si>
    <t>Page Down</t>
  </si>
  <si>
    <t>Move to next worksheet</t>
  </si>
  <si>
    <t>Ctrl + Page Down</t>
  </si>
  <si>
    <t>Highlighting Cells</t>
  </si>
  <si>
    <t>Move to previous worksheet</t>
  </si>
  <si>
    <t>Ctrl + Page Up</t>
  </si>
  <si>
    <t>Select entire worksheet</t>
  </si>
  <si>
    <t>Go to first cell in data region</t>
  </si>
  <si>
    <t>Ctrl + Home</t>
  </si>
  <si>
    <t>Select entire row</t>
  </si>
  <si>
    <t>Shift + Spacebar</t>
  </si>
  <si>
    <t>Go to last cell in data region</t>
  </si>
  <si>
    <t>Ctrl + End</t>
  </si>
  <si>
    <t>Select entire column</t>
  </si>
  <si>
    <t>Ctrl + Spacebar</t>
  </si>
  <si>
    <t>Data Region Left</t>
  </si>
  <si>
    <t>Ctrl + Left Arrow</t>
  </si>
  <si>
    <t>Manual select</t>
  </si>
  <si>
    <t>Shift + Arrow Key</t>
  </si>
  <si>
    <t>Data Region Right</t>
  </si>
  <si>
    <t>Ctrl + Right Arrow</t>
  </si>
  <si>
    <t>Data Region Down</t>
  </si>
  <si>
    <t>Ctrl + Down Arrow</t>
  </si>
  <si>
    <t>Inserting Text Automatically</t>
  </si>
  <si>
    <t>Data Region Up</t>
  </si>
  <si>
    <t>Ctrl + Up Arrow</t>
  </si>
  <si>
    <t>Autosum a range of cells</t>
  </si>
  <si>
    <t>Alt + Equals Sign</t>
  </si>
  <si>
    <t>Select Whole Data Region</t>
  </si>
  <si>
    <t>Ctrl + Shift + 8</t>
  </si>
  <si>
    <t>Insert the date</t>
  </si>
  <si>
    <t>Ctrl + ; (semi-colon)</t>
  </si>
  <si>
    <t>Move to Next Sheet</t>
  </si>
  <si>
    <t>Insert the time</t>
  </si>
  <si>
    <t>Ctrl + Shift + ; (semi-colon)</t>
  </si>
  <si>
    <t>Move to Prior Sheet</t>
  </si>
  <si>
    <t>Insert columns/rows</t>
  </si>
  <si>
    <t>Ctrl + Shift + + (plus sign)</t>
  </si>
  <si>
    <t>Access Drop down menu</t>
  </si>
  <si>
    <t>Alt + Down/Up Arrow</t>
  </si>
  <si>
    <t>Insert a new worksheet</t>
  </si>
  <si>
    <t>Shift + F11</t>
  </si>
  <si>
    <t>Zoom in / out</t>
  </si>
  <si>
    <t>Ctrl + mouse scroll</t>
  </si>
  <si>
    <t>How Excel stores dates and times.</t>
  </si>
  <si>
    <t>http://www.excelwiki.com/Excel/DateAndTimeBasics</t>
  </si>
  <si>
    <t>The basic unit of time in Excel is a day.</t>
  </si>
  <si>
    <t>e)</t>
  </si>
  <si>
    <t>add e</t>
  </si>
  <si>
    <t>d)</t>
  </si>
  <si>
    <t>Divide by d</t>
  </si>
  <si>
    <t>c)</t>
  </si>
  <si>
    <t>Subtract c</t>
  </si>
  <si>
    <t>b)</t>
  </si>
  <si>
    <t>Multiply a by b</t>
  </si>
  <si>
    <t>a)</t>
  </si>
  <si>
    <t>Complex Formula</t>
  </si>
  <si>
    <t>Is A not equal to B?</t>
  </si>
  <si>
    <t>Pear</t>
  </si>
  <si>
    <t>Apple</t>
  </si>
  <si>
    <t>Is A greater than B?</t>
  </si>
  <si>
    <t>Does A equal B?</t>
  </si>
  <si>
    <t>COMPARE</t>
  </si>
  <si>
    <r>
      <t xml:space="preserve">Calculate B </t>
    </r>
    <r>
      <rPr>
        <b/>
        <sz val="12"/>
        <rFont val="Arial"/>
        <family val="2"/>
      </rPr>
      <t>percentage</t>
    </r>
    <r>
      <rPr>
        <sz val="12"/>
        <rFont val="Arial"/>
        <family val="2"/>
      </rPr>
      <t xml:space="preserve"> of A</t>
    </r>
  </si>
  <si>
    <t>%</t>
  </si>
  <si>
    <r>
      <t>Exponent</t>
    </r>
    <r>
      <rPr>
        <sz val="12"/>
        <rFont val="Arial"/>
        <family val="2"/>
      </rPr>
      <t>: Take  A to B power</t>
    </r>
  </si>
  <si>
    <t>^</t>
  </si>
  <si>
    <r>
      <t>Divide</t>
    </r>
    <r>
      <rPr>
        <sz val="12"/>
        <rFont val="Arial"/>
        <family val="2"/>
      </rPr>
      <t xml:space="preserve">     A by B</t>
    </r>
  </si>
  <si>
    <t>/</t>
  </si>
  <si>
    <r>
      <t>Multiply</t>
    </r>
    <r>
      <rPr>
        <sz val="12"/>
        <rFont val="Arial"/>
        <family val="2"/>
      </rPr>
      <t xml:space="preserve">      A and B</t>
    </r>
  </si>
  <si>
    <t>*</t>
  </si>
  <si>
    <r>
      <t>Subtract</t>
    </r>
    <r>
      <rPr>
        <sz val="12"/>
        <rFont val="Arial"/>
        <family val="2"/>
      </rPr>
      <t xml:space="preserve">     B from A</t>
    </r>
  </si>
  <si>
    <t>-</t>
  </si>
  <si>
    <r>
      <t xml:space="preserve">Add </t>
    </r>
    <r>
      <rPr>
        <sz val="12"/>
        <rFont val="Arial"/>
        <family val="2"/>
      </rPr>
      <t xml:space="preserve">     A and B</t>
    </r>
  </si>
  <si>
    <t>+</t>
  </si>
  <si>
    <t>MATH</t>
  </si>
  <si>
    <t>Create a Complete Name</t>
  </si>
  <si>
    <t>John</t>
  </si>
  <si>
    <t>Your Result</t>
  </si>
  <si>
    <t>Your Task</t>
  </si>
  <si>
    <t xml:space="preserve">a population of </t>
  </si>
  <si>
    <t>=PERCENTRANK(C63:C67,B124)</t>
  </si>
  <si>
    <t>what would be the percent rank for</t>
  </si>
  <si>
    <t>=PERCENTILE(C63:C67,B120)</t>
  </si>
  <si>
    <t>what population would be at -- %</t>
  </si>
  <si>
    <t>=RANK(B116,C63:C67,0)</t>
  </si>
  <si>
    <t>what is its rank</t>
  </si>
  <si>
    <t>Durham has pop of</t>
  </si>
  <si>
    <t>=LARGE(C63:C67,B113)</t>
  </si>
  <si>
    <t>what is -- smallest</t>
  </si>
  <si>
    <t>=LARGE(C63:C67,B111)</t>
  </si>
  <si>
    <t>what is -- largest</t>
  </si>
  <si>
    <t>=MIN(C63:C67)</t>
  </si>
  <si>
    <t>what is smallest</t>
  </si>
  <si>
    <t>=MAX(C63:C67)</t>
  </si>
  <si>
    <t>what is largest</t>
  </si>
  <si>
    <t>=MEDIAN(C63:C67)</t>
  </si>
  <si>
    <t>what is the median population</t>
  </si>
  <si>
    <t>=AVERAGE(C63:C67)</t>
  </si>
  <si>
    <t>what is average population</t>
  </si>
  <si>
    <t>Dem</t>
  </si>
  <si>
    <t>=COUNTIF(D63:D67,B103)</t>
  </si>
  <si>
    <t>count the cities with party of:</t>
  </si>
  <si>
    <t>=COUNTA(B63:B67)</t>
  </si>
  <si>
    <t>count text and numbers</t>
  </si>
  <si>
    <t>=COUNT(C63:C67)</t>
  </si>
  <si>
    <t>count the cities with population</t>
  </si>
  <si>
    <t>Statistics</t>
  </si>
  <si>
    <t>=RANDBETWEEN(B98,B99)</t>
  </si>
  <si>
    <t>BETWEEN</t>
  </si>
  <si>
    <t>=RAND()</t>
  </si>
  <si>
    <t>CREATE A RANDOM NUMBER</t>
  </si>
  <si>
    <t>=ROUNDDOWN(B92,1)</t>
  </si>
  <si>
    <t>=ROUNDUP(B92,0)</t>
  </si>
  <si>
    <t>=ROUND(B92,0)</t>
  </si>
  <si>
    <t>ROUND A NUMBER</t>
  </si>
  <si>
    <t>Indep</t>
  </si>
  <si>
    <t>of the cities with the party of:</t>
  </si>
  <si>
    <t>=SUMIF(D63:D67,B89,C63:C67)</t>
  </si>
  <si>
    <t>what is the combined population</t>
  </si>
  <si>
    <t>=SUM(C63:C67)</t>
  </si>
  <si>
    <t>Math</t>
  </si>
  <si>
    <t>=INDEX(B63:C67,B84,2)</t>
  </si>
  <si>
    <t>what is the population of city number</t>
  </si>
  <si>
    <t>Raleigh</t>
  </si>
  <si>
    <t>=MATCH(B80,$B$63:$B$67,0)</t>
  </si>
  <si>
    <t>what city in the list is:</t>
  </si>
  <si>
    <t>Durham</t>
  </si>
  <si>
    <t>=VLOOKUP(B77,$B$63:$C$67,2,FALSE)</t>
  </si>
  <si>
    <t>If city is ---, what is population</t>
  </si>
  <si>
    <t>=VLOOKUP(B73,$B$55:$C$59,2)</t>
  </si>
  <si>
    <t>If income is ---, what is tax rate</t>
  </si>
  <si>
    <t>List of Numbers</t>
  </si>
  <si>
    <t>Lookup</t>
  </si>
  <si>
    <t>WINSTON-SALEM</t>
  </si>
  <si>
    <t>DURHAM</t>
  </si>
  <si>
    <t>GREENSBORO</t>
  </si>
  <si>
    <t>Rep</t>
  </si>
  <si>
    <t>RALEIGH</t>
  </si>
  <si>
    <t>CHARLOTTE</t>
  </si>
  <si>
    <t>Party</t>
  </si>
  <si>
    <t>Pop.</t>
  </si>
  <si>
    <t>City</t>
  </si>
  <si>
    <t>TAX RATE</t>
  </si>
  <si>
    <t>Income</t>
  </si>
  <si>
    <t>=IF(AND(D42="Past Due",D46=100%),"Both True","There is a Problem")</t>
  </si>
  <si>
    <t>IF and AND</t>
  </si>
  <si>
    <t>=OR(6&gt;4,4&gt;7)</t>
  </si>
  <si>
    <t>is 6 &gt; 4   OR   4 &gt; 7</t>
  </si>
  <si>
    <t>=AND(6&gt;4,4&gt;7)</t>
  </si>
  <si>
    <t>is 6 &gt; 4   AND   4&gt;7</t>
  </si>
  <si>
    <t>change to 100%</t>
  </si>
  <si>
    <t>=IF(B49&gt;100%,100%,B49)</t>
  </si>
  <si>
    <t>If total is greater than 100%</t>
  </si>
  <si>
    <t>=IF(TODAY()&gt;B43,"Past Due","Still OK")</t>
  </si>
  <si>
    <t>if today's date is past, indicate overdue</t>
  </si>
  <si>
    <t>Logical</t>
  </si>
  <si>
    <t>HOLIDAYS</t>
  </si>
  <si>
    <t>=WORKDAY(B36,B35,B38:C41)</t>
  </si>
  <si>
    <t>--- WORKING DAYS AFTER ---</t>
  </si>
  <si>
    <t>TO</t>
  </si>
  <si>
    <t>=YEARFRAC(B31,B33,1)</t>
  </si>
  <si>
    <t>=WEEKDAY(B18,1)</t>
  </si>
  <si>
    <t>Which day of the week is July 6</t>
  </si>
  <si>
    <t>=DATE(B25,B26,B27)</t>
  </si>
  <si>
    <t>3rd month, 6th day, 1995</t>
  </si>
  <si>
    <t>=today()</t>
  </si>
  <si>
    <t>today's date</t>
  </si>
  <si>
    <t>=day(b18)</t>
  </si>
  <si>
    <t>=month(b18)</t>
  </si>
  <si>
    <t>=year(b18)</t>
  </si>
  <si>
    <t>DATE</t>
  </si>
  <si>
    <t>=TRIM(A17)</t>
  </si>
  <si>
    <t>UNC     School   of    Government</t>
  </si>
  <si>
    <t>=REPLACE(b12,D13,10,"Higher Learning")</t>
  </si>
  <si>
    <t>=FIND("Government",b12)</t>
  </si>
  <si>
    <t>=SUBSTITUTE(b12,"Institute","School")</t>
  </si>
  <si>
    <t>Institute of Government</t>
  </si>
  <si>
    <t>=mid(b8,10,5)</t>
  </si>
  <si>
    <t>=left(b8,5)</t>
  </si>
  <si>
    <t>=right(b8,5)</t>
  </si>
  <si>
    <t>sCHOOL of Government</t>
  </si>
  <si>
    <t>=lower(b4)</t>
  </si>
  <si>
    <t>=upper(b4)</t>
  </si>
  <si>
    <t>=proper(b4)</t>
  </si>
  <si>
    <t>RESULT</t>
  </si>
  <si>
    <t>FUNCTION</t>
  </si>
  <si>
    <t>OLD CELL OR QUESTION</t>
  </si>
  <si>
    <t>EXAMPLES OF THE EFFECTS OF FUNCTIONS</t>
  </si>
  <si>
    <t>Each line represents an individual record in the database.</t>
  </si>
  <si>
    <t>Each column is a variable or field in the database.</t>
  </si>
  <si>
    <t>Simple database of expenditures by various departments for various purposes.</t>
  </si>
  <si>
    <t>Table and Pivot Table Demonstration</t>
  </si>
  <si>
    <t>Repairs</t>
  </si>
  <si>
    <t>Fire</t>
  </si>
  <si>
    <t>Uniforms</t>
  </si>
  <si>
    <t>Planning</t>
  </si>
  <si>
    <t>Paper</t>
  </si>
  <si>
    <t>Police</t>
  </si>
  <si>
    <t>OfficeSupplies</t>
  </si>
  <si>
    <t>PublicWorks</t>
  </si>
  <si>
    <t>Consultants</t>
  </si>
  <si>
    <t>Computers</t>
  </si>
  <si>
    <t>Finance</t>
  </si>
  <si>
    <t>Amount</t>
  </si>
  <si>
    <t>Expense_Category</t>
  </si>
  <si>
    <t>Department</t>
  </si>
  <si>
    <t>Date</t>
  </si>
  <si>
    <t>Transaction#</t>
  </si>
  <si>
    <t>Basics of Formatting</t>
  </si>
  <si>
    <t xml:space="preserve">  Fonts</t>
  </si>
  <si>
    <t xml:space="preserve">    Size</t>
  </si>
  <si>
    <t xml:space="preserve">    Type</t>
  </si>
  <si>
    <t xml:space="preserve">    Bold/Italic/Underline</t>
  </si>
  <si>
    <t xml:space="preserve">    Text color</t>
  </si>
  <si>
    <t xml:space="preserve">  Background colors</t>
  </si>
  <si>
    <t xml:space="preserve">  borders</t>
  </si>
  <si>
    <t xml:space="preserve">  Alignment</t>
  </si>
  <si>
    <t xml:space="preserve">  Text Wrap</t>
  </si>
  <si>
    <t xml:space="preserve">  Merge Cells</t>
  </si>
  <si>
    <t xml:space="preserve">  Centering</t>
  </si>
  <si>
    <t xml:space="preserve">  Indenting</t>
  </si>
  <si>
    <t xml:space="preserve">  Number Style</t>
  </si>
  <si>
    <t>Tables</t>
  </si>
  <si>
    <t>Graphs</t>
  </si>
  <si>
    <t>Test 7</t>
  </si>
  <si>
    <t>TOTAL</t>
  </si>
  <si>
    <t>Test 6</t>
  </si>
  <si>
    <t>June</t>
  </si>
  <si>
    <t>Test 5</t>
  </si>
  <si>
    <t>May</t>
  </si>
  <si>
    <t>Test 4</t>
  </si>
  <si>
    <t>Apr</t>
  </si>
  <si>
    <t>Budgeting</t>
  </si>
  <si>
    <t>Test 3</t>
  </si>
  <si>
    <t>Mar</t>
  </si>
  <si>
    <t>Courts</t>
  </si>
  <si>
    <t>Test 2</t>
  </si>
  <si>
    <t>Feb</t>
  </si>
  <si>
    <t>Basic Government</t>
  </si>
  <si>
    <t>Test 1</t>
  </si>
  <si>
    <t>Jan</t>
  </si>
  <si>
    <t>Classmates</t>
  </si>
  <si>
    <t>Content</t>
  </si>
  <si>
    <t>Materials</t>
  </si>
  <si>
    <t>Instructors</t>
  </si>
  <si>
    <t>Facilities</t>
  </si>
  <si>
    <t>Score</t>
  </si>
  <si>
    <t>Test</t>
  </si>
  <si>
    <t>All Funds</t>
  </si>
  <si>
    <t>Rooms</t>
  </si>
  <si>
    <t>Personnel</t>
  </si>
  <si>
    <t>Student Satisfaction with Course</t>
  </si>
  <si>
    <t>MAR</t>
  </si>
  <si>
    <t>FEB</t>
  </si>
  <si>
    <t>JAN</t>
  </si>
  <si>
    <t>SOUTH</t>
  </si>
  <si>
    <t>NORTH</t>
  </si>
  <si>
    <t>CHERRIES</t>
  </si>
  <si>
    <t>ORANGES</t>
  </si>
  <si>
    <t>PEARS</t>
  </si>
  <si>
    <t>APPLES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</si>
  <si>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</si>
  <si>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</si>
  <si>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</si>
  <si>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</si>
  <si>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</si>
  <si>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</si>
  <si>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</si>
  <si>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</si>
  <si>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</si>
  <si>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SHARE</t>
  </si>
  <si>
    <t>Sales</t>
  </si>
  <si>
    <t>Profit</t>
  </si>
  <si>
    <t>Overhead</t>
  </si>
  <si>
    <t>Revenue</t>
  </si>
  <si>
    <t>Expenses</t>
  </si>
  <si>
    <t>Gap</t>
  </si>
  <si>
    <t>Register of Deeds</t>
  </si>
  <si>
    <t>Public Defenders</t>
  </si>
  <si>
    <t>Personnel Management</t>
  </si>
  <si>
    <t>Zip Davis</t>
  </si>
  <si>
    <t>Magistrates</t>
  </si>
  <si>
    <t>Tracy Bligh</t>
  </si>
  <si>
    <t>Leadership Fundamentals</t>
  </si>
  <si>
    <t>Susan Shonet</t>
  </si>
  <si>
    <t>IT Specialists</t>
  </si>
  <si>
    <t>Mary Grace</t>
  </si>
  <si>
    <t>Government for Elected Officials</t>
  </si>
  <si>
    <t>Hal Moxie</t>
  </si>
  <si>
    <t>Financial Management</t>
  </si>
  <si>
    <t>Delia George</t>
  </si>
  <si>
    <t>Court Administrators</t>
  </si>
  <si>
    <t>Cale Hapsburg</t>
  </si>
  <si>
    <t>Community Development</t>
  </si>
  <si>
    <t>Bull Franks</t>
  </si>
  <si>
    <t>Alice Able</t>
  </si>
  <si>
    <t>Individuals</t>
  </si>
  <si>
    <t>Classes</t>
  </si>
  <si>
    <t>How individual rated the course (0-100)</t>
  </si>
  <si>
    <t>● Rating</t>
  </si>
  <si>
    <t>● Paid</t>
  </si>
  <si>
    <t>● Attended</t>
  </si>
  <si>
    <t>Person Attending, See List below</t>
  </si>
  <si>
    <t>● Individual</t>
  </si>
  <si>
    <t>● Date</t>
  </si>
  <si>
    <t>Name of Instructor, See List below</t>
  </si>
  <si>
    <t>● Instructor</t>
  </si>
  <si>
    <t>Name of Class, See List below</t>
  </si>
  <si>
    <t>● Class</t>
  </si>
  <si>
    <t>Database with the following items</t>
  </si>
  <si>
    <t>NA</t>
  </si>
  <si>
    <t>Zurg Madison</t>
  </si>
  <si>
    <t>Yorba Zipless</t>
  </si>
  <si>
    <t>Yorba Smith</t>
  </si>
  <si>
    <t>Yorba Proux</t>
  </si>
  <si>
    <t>Veronica Proux</t>
  </si>
  <si>
    <t>Veronica Galatin</t>
  </si>
  <si>
    <t>Veronica Cable</t>
  </si>
  <si>
    <t>Ulee Thurgood</t>
  </si>
  <si>
    <t>Ulee Galatin</t>
  </si>
  <si>
    <t>Tricia Galatin</t>
  </si>
  <si>
    <t>Susan Thurgood</t>
  </si>
  <si>
    <t>Susan Alberts</t>
  </si>
  <si>
    <t>Ronald Allen</t>
  </si>
  <si>
    <t>Ralph Illia</t>
  </si>
  <si>
    <t>Quincy Young</t>
  </si>
  <si>
    <t>Quincy Madison</t>
  </si>
  <si>
    <t>Quincy Lemon</t>
  </si>
  <si>
    <t>Quincy Hammil</t>
  </si>
  <si>
    <t>Quincy Alberts</t>
  </si>
  <si>
    <t>Percy Lemon</t>
  </si>
  <si>
    <t>Percy Franks</t>
  </si>
  <si>
    <t>Percy Carson</t>
  </si>
  <si>
    <t>Ophelia Zipless</t>
  </si>
  <si>
    <t>Ophelia Galatin</t>
  </si>
  <si>
    <t>Ophelia Davis</t>
  </si>
  <si>
    <t>Nancy Thurgood</t>
  </si>
  <si>
    <t>Nancy Edwards</t>
  </si>
  <si>
    <t>Nancy Davis</t>
  </si>
  <si>
    <t>Mary Zipless</t>
  </si>
  <si>
    <t>Mary Proux</t>
  </si>
  <si>
    <t>Lionel Lemon</t>
  </si>
  <si>
    <t>Kelly Kent</t>
  </si>
  <si>
    <t>James Kirk</t>
  </si>
  <si>
    <t>Jackson Zipless</t>
  </si>
  <si>
    <t>Ida Zipless</t>
  </si>
  <si>
    <t>Ida Needles</t>
  </si>
  <si>
    <t>Ida Alberts</t>
  </si>
  <si>
    <t>Harriet Thurgood</t>
  </si>
  <si>
    <t>Harriet Needles</t>
  </si>
  <si>
    <t>Fiona Thurgood</t>
  </si>
  <si>
    <t>Fiona Hammil</t>
  </si>
  <si>
    <t>Edward Ulman</t>
  </si>
  <si>
    <t>David Young</t>
  </si>
  <si>
    <t>David Proux</t>
  </si>
  <si>
    <t>David Ortho</t>
  </si>
  <si>
    <t>David Madison</t>
  </si>
  <si>
    <t>Darby Dawson</t>
  </si>
  <si>
    <t>Charlie Hammil</t>
  </si>
  <si>
    <t>Bjorn Budic</t>
  </si>
  <si>
    <t>Betty Smith</t>
  </si>
  <si>
    <t>Betty Needles</t>
  </si>
  <si>
    <t>Betty Hammil</t>
  </si>
  <si>
    <t>Arthur Kent</t>
  </si>
  <si>
    <t>Zurg Roe</t>
  </si>
  <si>
    <t>Zurg Kent</t>
  </si>
  <si>
    <t>Yorba Illia</t>
  </si>
  <si>
    <t>Yorba Franks</t>
  </si>
  <si>
    <t>Veronica Lemon</t>
  </si>
  <si>
    <t>Ulee Kent</t>
  </si>
  <si>
    <t>Ulee Jones</t>
  </si>
  <si>
    <t>Tricia Hammil</t>
  </si>
  <si>
    <t>Tricia Franks</t>
  </si>
  <si>
    <t>Susan Smith</t>
  </si>
  <si>
    <t>Ralph Proux</t>
  </si>
  <si>
    <t>Percy Zipless</t>
  </si>
  <si>
    <t>Nancy Cable</t>
  </si>
  <si>
    <t>Nancy Bertram</t>
  </si>
  <si>
    <t>Mary Illia</t>
  </si>
  <si>
    <t>Kelly Young</t>
  </si>
  <si>
    <t>Kelly Cable</t>
  </si>
  <si>
    <t>Ida Vincents</t>
  </si>
  <si>
    <t>George Carson</t>
  </si>
  <si>
    <t>George Bertram</t>
  </si>
  <si>
    <t>Fiona Roe</t>
  </si>
  <si>
    <t>Fiona Bertram</t>
  </si>
  <si>
    <t>David Cable</t>
  </si>
  <si>
    <t>Betty Franks</t>
  </si>
  <si>
    <t>Arthur Lemon</t>
  </si>
  <si>
    <t>Arthur Davis</t>
  </si>
  <si>
    <t>Zurg Lemon</t>
  </si>
  <si>
    <t>Zurg Galatin</t>
  </si>
  <si>
    <t>Yorba Needles</t>
  </si>
  <si>
    <t>Tricia Ulman</t>
  </si>
  <si>
    <t>Tricia Illia</t>
  </si>
  <si>
    <t>Tina Turner</t>
  </si>
  <si>
    <t>Ralph Zipless</t>
  </si>
  <si>
    <t>Ralph Lemon</t>
  </si>
  <si>
    <t>Mary Smith</t>
  </si>
  <si>
    <t>Lionel Cable</t>
  </si>
  <si>
    <t>Lionel Bertram</t>
  </si>
  <si>
    <t>Kelly Vincents</t>
  </si>
  <si>
    <t>Kelly Jones</t>
  </si>
  <si>
    <t>Kelly Alberts</t>
  </si>
  <si>
    <t>Ida Roe</t>
  </si>
  <si>
    <t>Harriet Ulman</t>
  </si>
  <si>
    <t>Fiona Vincents</t>
  </si>
  <si>
    <t>Fiona Cable</t>
  </si>
  <si>
    <t>Edward Illia</t>
  </si>
  <si>
    <t>David Edwards</t>
  </si>
  <si>
    <t>Betty Illia</t>
  </si>
  <si>
    <t>Zurg Zipless</t>
  </si>
  <si>
    <t>Yorba Kent</t>
  </si>
  <si>
    <t>Yorba Hammil</t>
  </si>
  <si>
    <t>Xena Young</t>
  </si>
  <si>
    <t>Xena Smith</t>
  </si>
  <si>
    <t>Veronica Hammil</t>
  </si>
  <si>
    <t>Ulee Hammil</t>
  </si>
  <si>
    <t>Ulee Cable</t>
  </si>
  <si>
    <t>Tricia Young</t>
  </si>
  <si>
    <t>Tricia Madison</t>
  </si>
  <si>
    <t>Susan Zipless</t>
  </si>
  <si>
    <t>Susan Galatin</t>
  </si>
  <si>
    <t>Susan Bertram</t>
  </si>
  <si>
    <t>Ralph Young</t>
  </si>
  <si>
    <t>Ralph Galatin</t>
  </si>
  <si>
    <t>Ralph Davis</t>
  </si>
  <si>
    <t>Ralph Alberts</t>
  </si>
  <si>
    <t>Quincy Roe</t>
  </si>
  <si>
    <t>Percy Davis</t>
  </si>
  <si>
    <t>Ophelia Lemon</t>
  </si>
  <si>
    <t>Ophelia Franks</t>
  </si>
  <si>
    <t>Ophelia Alberts</t>
  </si>
  <si>
    <t>Neo Walker</t>
  </si>
  <si>
    <t>Nancy Walters</t>
  </si>
  <si>
    <t>Nancy Smith</t>
  </si>
  <si>
    <t>Mary Davis</t>
  </si>
  <si>
    <t>Lionel Alberts</t>
  </si>
  <si>
    <t>Kelly Zipless</t>
  </si>
  <si>
    <t>Kelly Franks</t>
  </si>
  <si>
    <t>Jackson Needles</t>
  </si>
  <si>
    <t>Harriet Zipless</t>
  </si>
  <si>
    <t>Harriet Lemon</t>
  </si>
  <si>
    <t>Harriet Edwards</t>
  </si>
  <si>
    <t>George Zipless</t>
  </si>
  <si>
    <t>George Ulman</t>
  </si>
  <si>
    <t>George Thurgood</t>
  </si>
  <si>
    <t>George Needles</t>
  </si>
  <si>
    <t>George Kent</t>
  </si>
  <si>
    <t>Frank Zappa</t>
  </si>
  <si>
    <t>Fiona Zipless</t>
  </si>
  <si>
    <t>Fiona Walters</t>
  </si>
  <si>
    <t>Felicia Hernandez</t>
  </si>
  <si>
    <t>Edward Bertram</t>
  </si>
  <si>
    <t>Edna Barstow</t>
  </si>
  <si>
    <t>David Walters</t>
  </si>
  <si>
    <t>David Kent</t>
  </si>
  <si>
    <t>David Carson</t>
  </si>
  <si>
    <t>Clayton Young</t>
  </si>
  <si>
    <t>Charlie Walters</t>
  </si>
  <si>
    <t>Charlie Oman</t>
  </si>
  <si>
    <t>Charlie Illia</t>
  </si>
  <si>
    <t>Charlie Bertram</t>
  </si>
  <si>
    <t>Betty Ulman</t>
  </si>
  <si>
    <t>Arthur Smith</t>
  </si>
  <si>
    <t>Zurg Hammil</t>
  </si>
  <si>
    <t>Zurg Cable</t>
  </si>
  <si>
    <t>Yorba Lemon</t>
  </si>
  <si>
    <t>Xena Franks</t>
  </si>
  <si>
    <t>Veronica Kent</t>
  </si>
  <si>
    <t>Tricia Needles</t>
  </si>
  <si>
    <t>Tricia Davis</t>
  </si>
  <si>
    <t>Tricia Carson</t>
  </si>
  <si>
    <t>Susan Proux</t>
  </si>
  <si>
    <t>Quincy Bertram</t>
  </si>
  <si>
    <t>Percy Needles</t>
  </si>
  <si>
    <t>Mary Franks</t>
  </si>
  <si>
    <t>Mary Carson</t>
  </si>
  <si>
    <t>George Hammil</t>
  </si>
  <si>
    <t>Fiona Jones</t>
  </si>
  <si>
    <t>Edward Walters</t>
  </si>
  <si>
    <t>David Smith</t>
  </si>
  <si>
    <t>David Jones</t>
  </si>
  <si>
    <t>David Franks</t>
  </si>
  <si>
    <t>Charlie Edwards</t>
  </si>
  <si>
    <t>Betty Thurgood</t>
  </si>
  <si>
    <t>Betty Alberts</t>
  </si>
  <si>
    <t>Arthur Zipless</t>
  </si>
  <si>
    <t>Wilma Hutchinson</t>
  </si>
  <si>
    <t>Nablia Simpson</t>
  </si>
  <si>
    <t>Luke Skywalker</t>
  </si>
  <si>
    <t>Ida Jones</t>
  </si>
  <si>
    <t>Ida Galatin</t>
  </si>
  <si>
    <t>Harriet Madison</t>
  </si>
  <si>
    <t>Harriet Carson</t>
  </si>
  <si>
    <t>Edward Smith</t>
  </si>
  <si>
    <t>Edward Needles</t>
  </si>
  <si>
    <t>Charlie Franks</t>
  </si>
  <si>
    <t>Casey Cannes</t>
  </si>
  <si>
    <t>Bobby Young</t>
  </si>
  <si>
    <t>Blair Underwood</t>
  </si>
  <si>
    <t>Blackwell Billings</t>
  </si>
  <si>
    <t>Betty Cable</t>
  </si>
  <si>
    <t>Zurg Carson</t>
  </si>
  <si>
    <t>Yorba Cable</t>
  </si>
  <si>
    <t>Veronica Carson</t>
  </si>
  <si>
    <t>Ulee Franks</t>
  </si>
  <si>
    <t>Ulee Alberts</t>
  </si>
  <si>
    <t>Tricia Thurgood</t>
  </si>
  <si>
    <t>Tricia Oman</t>
  </si>
  <si>
    <t>Susan Needles</t>
  </si>
  <si>
    <t>Quincy Illia</t>
  </si>
  <si>
    <t>Percy Ulman</t>
  </si>
  <si>
    <t>Percy Oman</t>
  </si>
  <si>
    <t>Ophelia Proux</t>
  </si>
  <si>
    <t>Ophelia Edwards</t>
  </si>
  <si>
    <t>Nancy Alberts</t>
  </si>
  <si>
    <t>Lionel Edwards</t>
  </si>
  <si>
    <t>Lionel Carson</t>
  </si>
  <si>
    <t>Jackson Smith</t>
  </si>
  <si>
    <t>Ida Hammil</t>
  </si>
  <si>
    <t>Henry Bass</t>
  </si>
  <si>
    <t>Harriet Galatin</t>
  </si>
  <si>
    <t>Georgina Miller</t>
  </si>
  <si>
    <t>George Oman</t>
  </si>
  <si>
    <t>Gaston Gatllinburg</t>
  </si>
  <si>
    <t>Edward Lemon</t>
  </si>
  <si>
    <t>Edward Hammil</t>
  </si>
  <si>
    <t>Davis Woseau</t>
  </si>
  <si>
    <t>David Davis</t>
  </si>
  <si>
    <t>Arthur Young</t>
  </si>
  <si>
    <t>Zurg Jones</t>
  </si>
  <si>
    <t>Xena Zipless</t>
  </si>
  <si>
    <t>Xena Vincents</t>
  </si>
  <si>
    <t>Xena Ulman</t>
  </si>
  <si>
    <t>Xena Oman</t>
  </si>
  <si>
    <t>Xena Needles</t>
  </si>
  <si>
    <t>Xena Jones</t>
  </si>
  <si>
    <t>Veronica Zipless</t>
  </si>
  <si>
    <t>Veronica Young</t>
  </si>
  <si>
    <t>Veronica Illia</t>
  </si>
  <si>
    <t>Tricia Proux</t>
  </si>
  <si>
    <t>Susan Madison</t>
  </si>
  <si>
    <t>Susan Jones</t>
  </si>
  <si>
    <t>Quincy Walters</t>
  </si>
  <si>
    <t>Quincy Jones</t>
  </si>
  <si>
    <t>Percy Madison</t>
  </si>
  <si>
    <t>Percy Kent</t>
  </si>
  <si>
    <t>Nancy Hammil</t>
  </si>
  <si>
    <t>Nancy Franks</t>
  </si>
  <si>
    <t>Mary Thurgood</t>
  </si>
  <si>
    <t>Mary Edwards</t>
  </si>
  <si>
    <t>Lionel Roe</t>
  </si>
  <si>
    <t>Lionel Needles</t>
  </si>
  <si>
    <t>Kelly Ulman</t>
  </si>
  <si>
    <t>Kelly Proux</t>
  </si>
  <si>
    <t>Ida Ulman</t>
  </si>
  <si>
    <t>Ida Oman</t>
  </si>
  <si>
    <t>Ida Lemon</t>
  </si>
  <si>
    <t>Harriet Young</t>
  </si>
  <si>
    <t>Harriet Davis</t>
  </si>
  <si>
    <t>Harriet Alberts</t>
  </si>
  <si>
    <t>George Madison</t>
  </si>
  <si>
    <t>George Illia</t>
  </si>
  <si>
    <t>Fiona Smith</t>
  </si>
  <si>
    <t>Edward Young</t>
  </si>
  <si>
    <t>Edward Thurgood</t>
  </si>
  <si>
    <t>Don Dangerous</t>
  </si>
  <si>
    <t>David Zipless</t>
  </si>
  <si>
    <t>David Needles</t>
  </si>
  <si>
    <t>David Illia</t>
  </si>
  <si>
    <t>Charlie Kent</t>
  </si>
  <si>
    <t>Betty Walters</t>
  </si>
  <si>
    <t>Barbara Billings</t>
  </si>
  <si>
    <t>Arthur Madison</t>
  </si>
  <si>
    <t>Arthur Franks</t>
  </si>
  <si>
    <t>Arthur Edwards</t>
  </si>
  <si>
    <t>Anson Jackson</t>
  </si>
  <si>
    <t>Zurg Vincents</t>
  </si>
  <si>
    <t>Yorba Ulman</t>
  </si>
  <si>
    <t>Xena Hammil</t>
  </si>
  <si>
    <t>Ulee Madison</t>
  </si>
  <si>
    <t>Ulee Carson</t>
  </si>
  <si>
    <t>Tricia Kent</t>
  </si>
  <si>
    <t>Tricia Jones</t>
  </si>
  <si>
    <t>Ralph Ulman</t>
  </si>
  <si>
    <t>Ralph Franks</t>
  </si>
  <si>
    <t>Quincy Proux</t>
  </si>
  <si>
    <t>Quincy Galatin</t>
  </si>
  <si>
    <t>Quincy Franks</t>
  </si>
  <si>
    <t>Percy Hammil</t>
  </si>
  <si>
    <t>Percy Alberts</t>
  </si>
  <si>
    <t>Ophelia Young</t>
  </si>
  <si>
    <t>Ophelia Ulman</t>
  </si>
  <si>
    <t>Ophelia Thurgood</t>
  </si>
  <si>
    <t>Ophelia Roe</t>
  </si>
  <si>
    <t>Ophelia Needles</t>
  </si>
  <si>
    <t>Mary Kent</t>
  </si>
  <si>
    <t>Lionel Zipless</t>
  </si>
  <si>
    <t>Lionel Walters</t>
  </si>
  <si>
    <t>Lionel Oman</t>
  </si>
  <si>
    <t>Kelly Lemon</t>
  </si>
  <si>
    <t>Jackson Oman</t>
  </si>
  <si>
    <t>Jackson Madison</t>
  </si>
  <si>
    <t>Ida Thurgood</t>
  </si>
  <si>
    <t>Ida Edwards</t>
  </si>
  <si>
    <t>Ida Bertram</t>
  </si>
  <si>
    <t>Harriet Bertram</t>
  </si>
  <si>
    <t>George Vincents</t>
  </si>
  <si>
    <t>George Smith</t>
  </si>
  <si>
    <t>George Alberts</t>
  </si>
  <si>
    <t>David Alberts</t>
  </si>
  <si>
    <t>Charlie Thurgood</t>
  </si>
  <si>
    <t>Betty Proux</t>
  </si>
  <si>
    <t>Yorba Oman</t>
  </si>
  <si>
    <t>Ulee Bertram</t>
  </si>
  <si>
    <t>Susan Illia</t>
  </si>
  <si>
    <t>Lionel Vincents</t>
  </si>
  <si>
    <t>Lionel Davis</t>
  </si>
  <si>
    <t>Kelly Mangee</t>
  </si>
  <si>
    <t>Kelly Galatin</t>
  </si>
  <si>
    <t>Jackson Walters</t>
  </si>
  <si>
    <t>Ida Proux</t>
  </si>
  <si>
    <t>Charlie Jones</t>
  </si>
  <si>
    <t>Arthur Vincents</t>
  </si>
  <si>
    <t>Arthur Ulman</t>
  </si>
  <si>
    <t>Arthur Oman</t>
  </si>
  <si>
    <t>Zurg Davis</t>
  </si>
  <si>
    <t>Yorba Roe</t>
  </si>
  <si>
    <t>Xena Illia</t>
  </si>
  <si>
    <t>Ralph Smith</t>
  </si>
  <si>
    <t>Ralph Edwards</t>
  </si>
  <si>
    <t>Nancy Madison</t>
  </si>
  <si>
    <t>Lizzy Lemoo</t>
  </si>
  <si>
    <t>Ken Alberts</t>
  </si>
  <si>
    <t>Jackson Carson</t>
  </si>
  <si>
    <t>Harriet Hammil</t>
  </si>
  <si>
    <t>Frank Quimby</t>
  </si>
  <si>
    <t>Fiona Galatin</t>
  </si>
  <si>
    <t>Fiona Carson</t>
  </si>
  <si>
    <t>Fiona Alberts</t>
  </si>
  <si>
    <t>Edward Zipless</t>
  </si>
  <si>
    <t>Dizzy Dean</t>
  </si>
  <si>
    <t>Charlie Zipless</t>
  </si>
  <si>
    <t>Charlie Smith</t>
  </si>
  <si>
    <t>Bela Organa</t>
  </si>
  <si>
    <t>Arthur Thurgood</t>
  </si>
  <si>
    <t>Veronica Vincents</t>
  </si>
  <si>
    <t>Veronica Oman</t>
  </si>
  <si>
    <t>Ulee Young</t>
  </si>
  <si>
    <t>Ulee Davis</t>
  </si>
  <si>
    <t>Susan Edwards</t>
  </si>
  <si>
    <t>Quincy Thurgood</t>
  </si>
  <si>
    <t>Quincy Davis</t>
  </si>
  <si>
    <t>Quincy Carson</t>
  </si>
  <si>
    <t>Percy Walters</t>
  </si>
  <si>
    <t>Ophelia Vincents</t>
  </si>
  <si>
    <t>Ophelia Cable</t>
  </si>
  <si>
    <t>Nancy Kent</t>
  </si>
  <si>
    <t>Kelly Roe</t>
  </si>
  <si>
    <t>Ida Illia</t>
  </si>
  <si>
    <t>Harriet Oman</t>
  </si>
  <si>
    <t>Fiona Madison</t>
  </si>
  <si>
    <t>Edward Davis</t>
  </si>
  <si>
    <t>David Oman</t>
  </si>
  <si>
    <t>Betty Kent</t>
  </si>
  <si>
    <t>Arthur Proux</t>
  </si>
  <si>
    <t>Arthur Carson</t>
  </si>
  <si>
    <t>Susan Vincents</t>
  </si>
  <si>
    <t>Mary Young</t>
  </si>
  <si>
    <t>Mary Oman</t>
  </si>
  <si>
    <t>Xena Lemon</t>
  </si>
  <si>
    <t>Vivian Zapata</t>
  </si>
  <si>
    <t>Steve Jackson</t>
  </si>
  <si>
    <t>Richard Allen</t>
  </si>
  <si>
    <t>Parker Evans</t>
  </si>
  <si>
    <t>Pamela Linet</t>
  </si>
  <si>
    <t>Mary Walters</t>
  </si>
  <si>
    <t>Mary Osten</t>
  </si>
  <si>
    <t>Keisha Kane</t>
  </si>
  <si>
    <t>Jackson Young</t>
  </si>
  <si>
    <t>George Walters</t>
  </si>
  <si>
    <t>George Proux</t>
  </si>
  <si>
    <t>Gabby Smith</t>
  </si>
  <si>
    <t>Frank Platt</t>
  </si>
  <si>
    <t>Destin Shoemaker</t>
  </si>
  <si>
    <t>Dale Barker</t>
  </si>
  <si>
    <t>Bert Ernie</t>
  </si>
  <si>
    <t>Bart Simpson</t>
  </si>
  <si>
    <t>Barbara Walters</t>
  </si>
  <si>
    <t>Allen Demando</t>
  </si>
  <si>
    <t>Zurg Walters</t>
  </si>
  <si>
    <t>Zurg Thurgood</t>
  </si>
  <si>
    <t>Zurg Needles</t>
  </si>
  <si>
    <t>Zeke Argo</t>
  </si>
  <si>
    <t>Zebulon Pike</t>
  </si>
  <si>
    <t>Yorba Galatin</t>
  </si>
  <si>
    <t>Veronica Smith</t>
  </si>
  <si>
    <t>Veronica Davis</t>
  </si>
  <si>
    <t>Susan Walters</t>
  </si>
  <si>
    <t>Quincy Zipless</t>
  </si>
  <si>
    <t>Quincy Vincents</t>
  </si>
  <si>
    <t>Quincy Smith</t>
  </si>
  <si>
    <t>Quincy Oman</t>
  </si>
  <si>
    <t>Percy Smith</t>
  </si>
  <si>
    <t>Percy Roe</t>
  </si>
  <si>
    <t>Percy Proux</t>
  </si>
  <si>
    <t>Percy Bertram</t>
  </si>
  <si>
    <t>Ophelia Jones</t>
  </si>
  <si>
    <t>Marcus Allen</t>
  </si>
  <si>
    <t>Lois Aspen</t>
  </si>
  <si>
    <t>Lionel Young</t>
  </si>
  <si>
    <t>James Carter</t>
  </si>
  <si>
    <t>Jackson Jones</t>
  </si>
  <si>
    <t>Jackson Hewitt</t>
  </si>
  <si>
    <t>Jackson Davis</t>
  </si>
  <si>
    <t>Jackson Cable</t>
  </si>
  <si>
    <t>Ida Smith</t>
  </si>
  <si>
    <t>Harriet Walters</t>
  </si>
  <si>
    <t>Hal Ketchum</t>
  </si>
  <si>
    <t>George Cable</t>
  </si>
  <si>
    <t>Gabby Jone</t>
  </si>
  <si>
    <t>Fiona Darson</t>
  </si>
  <si>
    <t>Edward Franks</t>
  </si>
  <si>
    <t>Edward Carson</t>
  </si>
  <si>
    <t>Clark Kent</t>
  </si>
  <si>
    <t>Charlie Davis</t>
  </si>
  <si>
    <t>Carson Fallon</t>
  </si>
  <si>
    <t>Blanche DuBois</t>
  </si>
  <si>
    <t>Bill Bailey</t>
  </si>
  <si>
    <t>Betty Lemon</t>
  </si>
  <si>
    <t>Zurg Oman</t>
  </si>
  <si>
    <t>Yorba Edwards</t>
  </si>
  <si>
    <t>Yorba Carson</t>
  </si>
  <si>
    <t>Xena Walters</t>
  </si>
  <si>
    <t>Vincent Pring</t>
  </si>
  <si>
    <t>Ulee Oman</t>
  </si>
  <si>
    <t>Susan Roe</t>
  </si>
  <si>
    <t>Ralph Thurgood</t>
  </si>
  <si>
    <t>Percy Vincents</t>
  </si>
  <si>
    <t>Ophelia Walters</t>
  </si>
  <si>
    <t>Nancy Young</t>
  </si>
  <si>
    <t>Mary Jones</t>
  </si>
  <si>
    <t>Lionel Smith</t>
  </si>
  <si>
    <t>Kelly Bertram</t>
  </si>
  <si>
    <t>Jackson Vincents</t>
  </si>
  <si>
    <t>Jackson Franks</t>
  </si>
  <si>
    <t>Ida Franks</t>
  </si>
  <si>
    <t>Harriet Smith</t>
  </si>
  <si>
    <t>George Franks</t>
  </si>
  <si>
    <t>Fiona Illia</t>
  </si>
  <si>
    <t>David Roe</t>
  </si>
  <si>
    <t>Dan Rather</t>
  </si>
  <si>
    <t>Charlie Galatin</t>
  </si>
  <si>
    <t>Betty Roe</t>
  </si>
  <si>
    <t>Arthur Galatin</t>
  </si>
  <si>
    <t>Zip Blaze</t>
  </si>
  <si>
    <t>Zurg Bertram</t>
  </si>
  <si>
    <t>Yorba Alberts</t>
  </si>
  <si>
    <t>Veronica Jones</t>
  </si>
  <si>
    <t>Veronica Franks</t>
  </si>
  <si>
    <t>Ulee Zipless</t>
  </si>
  <si>
    <t>Tricia Roe</t>
  </si>
  <si>
    <t>Susan Oman</t>
  </si>
  <si>
    <t>Ralph Kent</t>
  </si>
  <si>
    <t>Quincy Ulman</t>
  </si>
  <si>
    <t>Percy Jones</t>
  </si>
  <si>
    <t>Percy Galatin</t>
  </si>
  <si>
    <t>Percy Edwards</t>
  </si>
  <si>
    <t>Percy Cable</t>
  </si>
  <si>
    <t>Ophelia Oman</t>
  </si>
  <si>
    <t>Nancy Vincents</t>
  </si>
  <si>
    <t>Nancy Ulman</t>
  </si>
  <si>
    <t>Nancy Illia</t>
  </si>
  <si>
    <t>Lionel Thurgood</t>
  </si>
  <si>
    <t>Lionel Illia</t>
  </si>
  <si>
    <t>Lionel Galatin</t>
  </si>
  <si>
    <t>Kelly Carson</t>
  </si>
  <si>
    <t>George Jones</t>
  </si>
  <si>
    <t>Fiona Needles</t>
  </si>
  <si>
    <t>Fiona Franks</t>
  </si>
  <si>
    <t>Edward Jones</t>
  </si>
  <si>
    <t>Charlie Ulman</t>
  </si>
  <si>
    <t>Charlie Lemon</t>
  </si>
  <si>
    <t>Betty Galatin</t>
  </si>
  <si>
    <t>Bert Harmon</t>
  </si>
  <si>
    <t>Arthur Jones</t>
  </si>
  <si>
    <t>Zurg Proux</t>
  </si>
  <si>
    <t>Yorba Walters</t>
  </si>
  <si>
    <t>Vivian Vance</t>
  </si>
  <si>
    <t>Tricia Cable</t>
  </si>
  <si>
    <t>Tina Wells</t>
  </si>
  <si>
    <t>Sam Darson</t>
  </si>
  <si>
    <t>Robert Brogden</t>
  </si>
  <si>
    <t>Percy Young</t>
  </si>
  <si>
    <t>Nancy Oman</t>
  </si>
  <si>
    <t>Nancy Needles</t>
  </si>
  <si>
    <t>Martin Pring</t>
  </si>
  <si>
    <t>Marge Simpson</t>
  </si>
  <si>
    <t>Lila Bingham</t>
  </si>
  <si>
    <t>Ken Allen</t>
  </si>
  <si>
    <t>Kelly Thurgood</t>
  </si>
  <si>
    <t>Juan Naturno</t>
  </si>
  <si>
    <t>Jackson Bertram</t>
  </si>
  <si>
    <t>Harriet Illia</t>
  </si>
  <si>
    <t>Frank Arther</t>
  </si>
  <si>
    <t>Fiona Kent</t>
  </si>
  <si>
    <t>Delia Demarco</t>
  </si>
  <si>
    <t>David Lemon</t>
  </si>
  <si>
    <t>Damian Gorgon</t>
  </si>
  <si>
    <t>Dabby Smith</t>
  </si>
  <si>
    <t>Cindy Caspia</t>
  </si>
  <si>
    <t>Chris Rock</t>
  </si>
  <si>
    <t>Charlie Young</t>
  </si>
  <si>
    <t>Charlie Needles</t>
  </si>
  <si>
    <t>Betty Oman</t>
  </si>
  <si>
    <t>Bessie Davis</t>
  </si>
  <si>
    <t>Bastion Thomas</t>
  </si>
  <si>
    <t>Abby Rhode</t>
  </si>
  <si>
    <t>Xena Bertram</t>
  </si>
  <si>
    <t>Ulee Illia</t>
  </si>
  <si>
    <t>Susan Young</t>
  </si>
  <si>
    <t>Ophelia Madison</t>
  </si>
  <si>
    <t>Morris Griffin</t>
  </si>
  <si>
    <t>Lisa Simpson</t>
  </si>
  <si>
    <t>Ida Carson</t>
  </si>
  <si>
    <t>George Lemon</t>
  </si>
  <si>
    <t>Burt Gaglion</t>
  </si>
  <si>
    <t>Arthur Roe</t>
  </si>
  <si>
    <t>Xena Proux</t>
  </si>
  <si>
    <t>Veronica Madison</t>
  </si>
  <si>
    <t>Tricia Smith</t>
  </si>
  <si>
    <t>Sam Spade</t>
  </si>
  <si>
    <t>Ophelia Bertram</t>
  </si>
  <si>
    <t>Ned Flanders</t>
  </si>
  <si>
    <t>Nancy Roe</t>
  </si>
  <si>
    <t>Nancy Proux</t>
  </si>
  <si>
    <t>Ken Thurgood</t>
  </si>
  <si>
    <t>Kelly Madison</t>
  </si>
  <si>
    <t>Kelly Edwards</t>
  </si>
  <si>
    <t>Kelly Davis</t>
  </si>
  <si>
    <t>Jackson Lemon</t>
  </si>
  <si>
    <t>Jackson Hammil</t>
  </si>
  <si>
    <t>Harriet Cable</t>
  </si>
  <si>
    <t>Edward Vincents</t>
  </si>
  <si>
    <t>Xena Galatin</t>
  </si>
  <si>
    <t>Veronica Edwards</t>
  </si>
  <si>
    <t>Ulee Ulman</t>
  </si>
  <si>
    <t>Ralph Cable</t>
  </si>
  <si>
    <t>Ralph Bertram</t>
  </si>
  <si>
    <t>Jackson Thurgood</t>
  </si>
  <si>
    <t>Jackson Alberts</t>
  </si>
  <si>
    <t>Ida Young</t>
  </si>
  <si>
    <t>Fiona Edwards</t>
  </si>
  <si>
    <t>Edward Galatin</t>
  </si>
  <si>
    <t>Zurg Ulman</t>
  </si>
  <si>
    <t>Zurg Illia</t>
  </si>
  <si>
    <t>Xena Thurgood</t>
  </si>
  <si>
    <t>Xena Davis</t>
  </si>
  <si>
    <t>Walter Cronkite</t>
  </si>
  <si>
    <t>Veronica Roe</t>
  </si>
  <si>
    <t>Ulee Lemon</t>
  </si>
  <si>
    <t>Mary Ulman</t>
  </si>
  <si>
    <t>Mary Lemon</t>
  </si>
  <si>
    <t>George Roe</t>
  </si>
  <si>
    <t>George Edwards</t>
  </si>
  <si>
    <t>Fiona Davis</t>
  </si>
  <si>
    <t>Edward Madison</t>
  </si>
  <si>
    <t>Darth Vinson</t>
  </si>
  <si>
    <t>Yorba Jones</t>
  </si>
  <si>
    <t>Veronica Alberts</t>
  </si>
  <si>
    <t>Tricia Alberts</t>
  </si>
  <si>
    <t>Ralph Oman</t>
  </si>
  <si>
    <t>Kelly Needles</t>
  </si>
  <si>
    <t>David Vincents</t>
  </si>
  <si>
    <t>Betty Young</t>
  </si>
  <si>
    <t>Betty Davis</t>
  </si>
  <si>
    <t>Abby Bass</t>
  </si>
  <si>
    <t>Xena Edwards</t>
  </si>
  <si>
    <t>Veronica Bertram</t>
  </si>
  <si>
    <t>Susan Ulman</t>
  </si>
  <si>
    <t>Ralph Jones</t>
  </si>
  <si>
    <t>Quincy Edwards</t>
  </si>
  <si>
    <t>Ophelia Hammil</t>
  </si>
  <si>
    <t>Ned Fallon</t>
  </si>
  <si>
    <t>Mary Roe</t>
  </si>
  <si>
    <t>Mary Galatin</t>
  </si>
  <si>
    <t>Lionel Kent</t>
  </si>
  <si>
    <t>Harriet Vincents</t>
  </si>
  <si>
    <t>Harriet Proux</t>
  </si>
  <si>
    <t>Callie Oxen</t>
  </si>
  <si>
    <t>Veronica Walters</t>
  </si>
  <si>
    <t>Nancy Zipless</t>
  </si>
  <si>
    <t>Kelly Smith</t>
  </si>
  <si>
    <t>Jackson Illia</t>
  </si>
  <si>
    <t>Ida Cable</t>
  </si>
  <si>
    <t>Edward Edwards</t>
  </si>
  <si>
    <t>Donnie Bruce</t>
  </si>
  <si>
    <t>Arthur Cable</t>
  </si>
  <si>
    <t>Susan Hammil</t>
  </si>
  <si>
    <t>Nick Nolte</t>
  </si>
  <si>
    <t>Lionel Proux</t>
  </si>
  <si>
    <t>Kent Collins</t>
  </si>
  <si>
    <t>Jackson Roe</t>
  </si>
  <si>
    <t>Edward Proux</t>
  </si>
  <si>
    <t>David Thurgood</t>
  </si>
  <si>
    <t>Arthur Walters</t>
  </si>
  <si>
    <t>Zurg Franks</t>
  </si>
  <si>
    <t>Ulee Walters</t>
  </si>
  <si>
    <t>Richard Carmichael</t>
  </si>
  <si>
    <t>Lucy Carmichael</t>
  </si>
  <si>
    <t>Ida Kent</t>
  </si>
  <si>
    <t>Xena Madison</t>
  </si>
  <si>
    <t>Tricia Edwards</t>
  </si>
  <si>
    <t>Samantha Pike</t>
  </si>
  <si>
    <t>Percy Illia</t>
  </si>
  <si>
    <t>Mary Bertram</t>
  </si>
  <si>
    <t>Homer Simpson</t>
  </si>
  <si>
    <t>Dean Davis</t>
  </si>
  <si>
    <t>Burt Gorn</t>
  </si>
  <si>
    <t>Veronica Needles</t>
  </si>
  <si>
    <t>Ulee Proux</t>
  </si>
  <si>
    <t>Susan Lemon</t>
  </si>
  <si>
    <t>Susan Davis</t>
  </si>
  <si>
    <t>Ralph Walters</t>
  </si>
  <si>
    <t>Mary Vincents</t>
  </si>
  <si>
    <t>Mary Needles</t>
  </si>
  <si>
    <t>Joe Johnson</t>
  </si>
  <si>
    <t>Jeana Davis</t>
  </si>
  <si>
    <t>Fiona Ulman</t>
  </si>
  <si>
    <t>Edward Oman</t>
  </si>
  <si>
    <t>Dawson Darby</t>
  </si>
  <si>
    <t>Betty Jones</t>
  </si>
  <si>
    <t>Velma Carson</t>
  </si>
  <si>
    <t>Tricia Zipless</t>
  </si>
  <si>
    <t>Quincy Cable</t>
  </si>
  <si>
    <t>Laura Lars</t>
  </si>
  <si>
    <t>Harriet Franks</t>
  </si>
  <si>
    <t>Flip Jackson</t>
  </si>
  <si>
    <t>Fiona Lemon</t>
  </si>
  <si>
    <t>Betty Vincents</t>
  </si>
  <si>
    <t>Rating</t>
  </si>
  <si>
    <t>Paid</t>
  </si>
  <si>
    <t>Attended</t>
  </si>
  <si>
    <t>Individual</t>
  </si>
  <si>
    <t>Instructor</t>
  </si>
  <si>
    <t>Class</t>
  </si>
  <si>
    <t>Vehicles</t>
  </si>
  <si>
    <t>Contracts</t>
  </si>
  <si>
    <t>Supplies</t>
  </si>
  <si>
    <t>Fringe</t>
  </si>
  <si>
    <t>Budget Category</t>
  </si>
  <si>
    <t>Request Date</t>
  </si>
  <si>
    <t>Percent Change</t>
  </si>
  <si>
    <t>Amount $</t>
  </si>
  <si>
    <t>Total</t>
  </si>
  <si>
    <t>Budget</t>
  </si>
  <si>
    <t>Personnel as a Percent of Total</t>
  </si>
  <si>
    <t>don't know</t>
  </si>
  <si>
    <t>Average</t>
  </si>
  <si>
    <t>FY 2007-08</t>
  </si>
  <si>
    <t>FY 2006-07</t>
  </si>
  <si>
    <t>FY 2005-06</t>
  </si>
  <si>
    <t>Renaldo Long</t>
  </si>
  <si>
    <t>Herbert Watkins</t>
  </si>
  <si>
    <t>Yelp Axle</t>
  </si>
  <si>
    <t>Nicole Harris</t>
  </si>
  <si>
    <t>Aida Diaz</t>
  </si>
  <si>
    <t>Gelph Rice</t>
  </si>
  <si>
    <t>Aida Hayes</t>
  </si>
  <si>
    <t>Perkins Rodriguez</t>
  </si>
  <si>
    <t>Luciana Bryant</t>
  </si>
  <si>
    <t>Roma Axle</t>
  </si>
  <si>
    <t>Luciana Nichols</t>
  </si>
  <si>
    <t>Caleph Caliph</t>
  </si>
  <si>
    <t>Diego Anthony</t>
  </si>
  <si>
    <t>Cracius Parsons</t>
  </si>
  <si>
    <t>Renaldo Jacobs</t>
  </si>
  <si>
    <t>Mercy Fisher</t>
  </si>
  <si>
    <t>Bertha Sullivan</t>
  </si>
  <si>
    <t>Nicole Vasquez</t>
  </si>
  <si>
    <t>Mercy Hoover</t>
  </si>
  <si>
    <t>Patrick Lopes</t>
  </si>
  <si>
    <t>Yelp Ferguson</t>
  </si>
  <si>
    <t>Eddie Fisher</t>
  </si>
  <si>
    <t>Dyana Ferguson</t>
  </si>
  <si>
    <t>Homer Axle</t>
  </si>
  <si>
    <t>Tuesday Anthony</t>
  </si>
  <si>
    <t>Juno Williamson</t>
  </si>
  <si>
    <t>Tyrion Ray</t>
  </si>
  <si>
    <t>Stephanie Jefferson</t>
  </si>
  <si>
    <t>Larson Cox</t>
  </si>
  <si>
    <t>Demi Jordan</t>
  </si>
  <si>
    <t>Danny Caliph</t>
  </si>
  <si>
    <t>Lucius Gibson</t>
  </si>
  <si>
    <t>Julian Castillo</t>
  </si>
  <si>
    <t>Steph Rice</t>
  </si>
  <si>
    <t>Sandy Fuller</t>
  </si>
  <si>
    <t>Gregor Hayes</t>
  </si>
  <si>
    <t>Neo Wallace</t>
  </si>
  <si>
    <t>Yelp McDonald</t>
  </si>
  <si>
    <t>Santiago Anderson</t>
  </si>
  <si>
    <t>Isabella Garcia</t>
  </si>
  <si>
    <t>Bodi Carr</t>
  </si>
  <si>
    <t>Dominic Ray</t>
  </si>
  <si>
    <t>Gordon Grayson</t>
  </si>
  <si>
    <t>Beta Cox</t>
  </si>
  <si>
    <t>Ballou Bryant</t>
  </si>
  <si>
    <t>Danny Perry</t>
  </si>
  <si>
    <t>Cyla Richardson</t>
  </si>
  <si>
    <t>Philip Daniels</t>
  </si>
  <si>
    <t>Dyana Payne</t>
  </si>
  <si>
    <t>Jamie Roosevelt</t>
  </si>
  <si>
    <t>Sara Montgomery</t>
  </si>
  <si>
    <t>Dominic Rider</t>
  </si>
  <si>
    <t>Beta Rider</t>
  </si>
  <si>
    <t>Caleb Washington</t>
  </si>
  <si>
    <t>Emmanuel Cruz</t>
  </si>
  <si>
    <t>Perkins Clinton</t>
  </si>
  <si>
    <t>Lanis Cox</t>
  </si>
  <si>
    <t>Ramses Hunt</t>
  </si>
  <si>
    <t>Yelp Vasquez</t>
  </si>
  <si>
    <t>Lanis Rivera</t>
  </si>
  <si>
    <t>Quimby Williams</t>
  </si>
  <si>
    <t>Tyrion Harris</t>
  </si>
  <si>
    <t>Mercy Marshal</t>
  </si>
  <si>
    <t>Juliet Reynolds</t>
  </si>
  <si>
    <t>Patrick Williams</t>
  </si>
  <si>
    <t>Sara Reynolds</t>
  </si>
  <si>
    <t>Nicky Hunt</t>
  </si>
  <si>
    <t>Luciana Hudson</t>
  </si>
  <si>
    <t>Pablo Myers</t>
  </si>
  <si>
    <t>Aston Gibson</t>
  </si>
  <si>
    <t>Quimby Patterson</t>
  </si>
  <si>
    <t>Bodi Jones</t>
  </si>
  <si>
    <t>Celia Castillo</t>
  </si>
  <si>
    <t>Derrick Payne</t>
  </si>
  <si>
    <t>Philomena Rodriguez</t>
  </si>
  <si>
    <t>Geof Fisher</t>
  </si>
  <si>
    <t>Gregor Hansen</t>
  </si>
  <si>
    <t>Renata Cooper</t>
  </si>
  <si>
    <t>Augustus Arnold</t>
  </si>
  <si>
    <t>Santiago Daniels</t>
  </si>
  <si>
    <t>Cyla Garza</t>
  </si>
  <si>
    <t>Dixon Palmer</t>
  </si>
  <si>
    <t>Mateo Gonzales</t>
  </si>
  <si>
    <t>Luciana Rivera</t>
  </si>
  <si>
    <t>Billy Caliph</t>
  </si>
  <si>
    <t>Elena Johnston</t>
  </si>
  <si>
    <t>Neander Knight</t>
  </si>
  <si>
    <t>Herbert Ross</t>
  </si>
  <si>
    <t>Homer Williams</t>
  </si>
  <si>
    <t>Norris Gonzales</t>
  </si>
  <si>
    <t>Gordon Rice</t>
  </si>
  <si>
    <t>Wylie Harris</t>
  </si>
  <si>
    <t>Homer Rodriguez</t>
  </si>
  <si>
    <t>Tyrion Holmes</t>
  </si>
  <si>
    <t>April Washington</t>
  </si>
  <si>
    <t>Franklin Holmes</t>
  </si>
  <si>
    <t>Zoe Fisher</t>
  </si>
  <si>
    <t>Lanis Parsons</t>
  </si>
  <si>
    <t>Sandy Jones</t>
  </si>
  <si>
    <t>Aida Adams</t>
  </si>
  <si>
    <t>Perkins Williamson</t>
  </si>
  <si>
    <t>Luciana Berry</t>
  </si>
  <si>
    <t>Janus Jones</t>
  </si>
  <si>
    <t>Fenton Ferguson</t>
  </si>
  <si>
    <t>Delpha McCoy</t>
  </si>
  <si>
    <t>Asta Rice</t>
  </si>
  <si>
    <t>Bey Larson</t>
  </si>
  <si>
    <t>Tuesday Bailey</t>
  </si>
  <si>
    <t>Janice Axle</t>
  </si>
  <si>
    <t>Zoe Bishop</t>
  </si>
  <si>
    <t>Valeria Brown</t>
  </si>
  <si>
    <t>Augustus Williamson</t>
  </si>
  <si>
    <t>Aida Ellis</t>
  </si>
  <si>
    <t>Jamie Martinez</t>
  </si>
  <si>
    <t>Emilio Larson</t>
  </si>
  <si>
    <t>Celia Williams</t>
  </si>
  <si>
    <t>Philip Myers</t>
  </si>
  <si>
    <t>Julian Anthony</t>
  </si>
  <si>
    <t>Ava Jefferson</t>
  </si>
  <si>
    <t>Selkirk Bryant</t>
  </si>
  <si>
    <t>Wylie Richardson</t>
  </si>
  <si>
    <t>Renaldo Payne</t>
  </si>
  <si>
    <t>Max Fernandez</t>
  </si>
  <si>
    <t>Geof Williamson</t>
  </si>
  <si>
    <t>Romeo Wallace</t>
  </si>
  <si>
    <t>Janice Cook</t>
  </si>
  <si>
    <t>Aston Bishop</t>
  </si>
  <si>
    <t>Perkins Georgio</t>
  </si>
  <si>
    <t>Juno Hudson</t>
  </si>
  <si>
    <t>Liza Jacobs</t>
  </si>
  <si>
    <t>Homer Wheeler</t>
  </si>
  <si>
    <t>Romeo Cruz</t>
  </si>
  <si>
    <t>Janus Bryant</t>
  </si>
  <si>
    <t>Dixon Axle</t>
  </si>
  <si>
    <t>Zoe Johnston</t>
  </si>
  <si>
    <t>Yelp Holmes</t>
  </si>
  <si>
    <t>Fenton Castillo</t>
  </si>
  <si>
    <t>Julian Cox</t>
  </si>
  <si>
    <t>Norris Gibson</t>
  </si>
  <si>
    <t>Diego Carr</t>
  </si>
  <si>
    <t>Jamie Anderson</t>
  </si>
  <si>
    <t>Isabella Torres</t>
  </si>
  <si>
    <t>Roma Larson</t>
  </si>
  <si>
    <t>Gregor Jefferson</t>
  </si>
  <si>
    <t>Renata Wallace</t>
  </si>
  <si>
    <t>Allison Rivera</t>
  </si>
  <si>
    <t>Roma McDonald</t>
  </si>
  <si>
    <t>Billy Grey</t>
  </si>
  <si>
    <t>Percival Bell</t>
  </si>
  <si>
    <t>Allison Ross</t>
  </si>
  <si>
    <t>Tuesday Rice</t>
  </si>
  <si>
    <t>Franklin Carson</t>
  </si>
  <si>
    <t>Bertha Hunt</t>
  </si>
  <si>
    <t>Aston Foster</t>
  </si>
  <si>
    <t>Ramses Cook</t>
  </si>
  <si>
    <t>Aston Jordan</t>
  </si>
  <si>
    <t>Calley Hughes</t>
  </si>
  <si>
    <t>Liza Talbert</t>
  </si>
  <si>
    <t>Stevan Larson</t>
  </si>
  <si>
    <t>Nicky Talbert</t>
  </si>
  <si>
    <t>Caleph McDonald</t>
  </si>
  <si>
    <t>Philomena Vasquez</t>
  </si>
  <si>
    <t>Pablo Miller</t>
  </si>
  <si>
    <t>May Foster</t>
  </si>
  <si>
    <t>Donna McDonald</t>
  </si>
  <si>
    <t>Lucius Cooper</t>
  </si>
  <si>
    <t>Luciana Fernandez</t>
  </si>
  <si>
    <t>Marcus Harris</t>
  </si>
  <si>
    <t>Calley Washington</t>
  </si>
  <si>
    <t>Wylie Roosevelt</t>
  </si>
  <si>
    <t>Percival Axle</t>
  </si>
  <si>
    <t>Caleph Myers</t>
  </si>
  <si>
    <t>Ham Jiminez</t>
  </si>
  <si>
    <t>Neo Banks</t>
  </si>
  <si>
    <t>Sten Arnold</t>
  </si>
  <si>
    <t>Lala Lannister</t>
  </si>
  <si>
    <t>Ava Wallace</t>
  </si>
  <si>
    <t>Philip Washington</t>
  </si>
  <si>
    <t>Stephanie Grant</t>
  </si>
  <si>
    <t>Bertha Bush</t>
  </si>
  <si>
    <t>Beta Hayes</t>
  </si>
  <si>
    <t>Sten Marshal</t>
  </si>
  <si>
    <t>Pablo Rivera</t>
  </si>
  <si>
    <t>Janus Castillo</t>
  </si>
  <si>
    <t>Larson Lopes</t>
  </si>
  <si>
    <t>Ham Shaw</t>
  </si>
  <si>
    <t>Ramses Payne</t>
  </si>
  <si>
    <t>Lucius Garza</t>
  </si>
  <si>
    <t>Marcus Talbert</t>
  </si>
  <si>
    <t>Lanis Cruz</t>
  </si>
  <si>
    <t>Tyrion Georgio</t>
  </si>
  <si>
    <t>Aida Gonzales</t>
  </si>
  <si>
    <t>Emmanuel Bryant</t>
  </si>
  <si>
    <t>Mateo Rice</t>
  </si>
  <si>
    <t>Elon Oster</t>
  </si>
  <si>
    <t>Valeria Georgio</t>
  </si>
  <si>
    <t>Norris Diaz</t>
  </si>
  <si>
    <t>Gelph Palmer</t>
  </si>
  <si>
    <t>Ham Cook</t>
  </si>
  <si>
    <t>Herbert Shaw</t>
  </si>
  <si>
    <t>Philip Patterson</t>
  </si>
  <si>
    <t>Asta Wheeler</t>
  </si>
  <si>
    <t>Nicolaus Patterson</t>
  </si>
  <si>
    <t>Cyla Watkins</t>
  </si>
  <si>
    <t>Sofia Knight</t>
  </si>
  <si>
    <t>Fenton Miller</t>
  </si>
  <si>
    <t>Norris Lannister</t>
  </si>
  <si>
    <t>Marcus Adams</t>
  </si>
  <si>
    <t>Santiago Owens</t>
  </si>
  <si>
    <t>Sofia Hansen</t>
  </si>
  <si>
    <t>Arty Oster</t>
  </si>
  <si>
    <t>Sandy Robinson</t>
  </si>
  <si>
    <t>Nicole Smith</t>
  </si>
  <si>
    <t>Delpha Caliph</t>
  </si>
  <si>
    <t>Ava Garcia</t>
  </si>
  <si>
    <t>Ballou Cruz</t>
  </si>
  <si>
    <t>Neo Johnson</t>
  </si>
  <si>
    <t>Billy Hoover</t>
  </si>
  <si>
    <t>Derrick Rodriguez</t>
  </si>
  <si>
    <t>Sandy Owens</t>
  </si>
  <si>
    <t>Julian Montgomery</t>
  </si>
  <si>
    <t>Marcus Torres</t>
  </si>
  <si>
    <t>Steph Williamson</t>
  </si>
  <si>
    <t>Renata Ellis</t>
  </si>
  <si>
    <t>Delpha Anthony</t>
  </si>
  <si>
    <t>Alejandro Powell</t>
  </si>
  <si>
    <t>Janus Clinton</t>
  </si>
  <si>
    <t>Gelph Amazing</t>
  </si>
  <si>
    <t>Fenton Bailey</t>
  </si>
  <si>
    <t>Mateo Anthony</t>
  </si>
  <si>
    <t>Neo Bishop</t>
  </si>
  <si>
    <t>Caleph Shaw</t>
  </si>
  <si>
    <t>Valeria Gray</t>
  </si>
  <si>
    <t>Renata Parsons</t>
  </si>
  <si>
    <t>Perkins Sullivan</t>
  </si>
  <si>
    <t>May Patterson</t>
  </si>
  <si>
    <t>Nicole Fuller</t>
  </si>
  <si>
    <t>Ballou Lannister</t>
  </si>
  <si>
    <t>Juliet Lannister</t>
  </si>
  <si>
    <t>Juno Payne</t>
  </si>
  <si>
    <t>Demi McDonald</t>
  </si>
  <si>
    <t>Lucius Myers</t>
  </si>
  <si>
    <t>Juno Banks</t>
  </si>
  <si>
    <t>Elena Fernandez</t>
  </si>
  <si>
    <t>Percival Myers</t>
  </si>
  <si>
    <t>Lanis Rodriguez</t>
  </si>
  <si>
    <t>Donna Oster</t>
  </si>
  <si>
    <t>Mateo Reynolds</t>
  </si>
  <si>
    <t>Sara Bishop</t>
  </si>
  <si>
    <t>Sara Ferguson</t>
  </si>
  <si>
    <t>Pablo Torres</t>
  </si>
  <si>
    <t>Wylie Hudson</t>
  </si>
  <si>
    <t>Ava Cooper</t>
  </si>
  <si>
    <t>Caleb Caliph</t>
  </si>
  <si>
    <t>Gelph Skye</t>
  </si>
  <si>
    <t>Asta Jefferson</t>
  </si>
  <si>
    <t>Braxton Sullivan</t>
  </si>
  <si>
    <t>Stanis Caliph</t>
  </si>
  <si>
    <t>Camila Georgio</t>
  </si>
  <si>
    <t>Caleph Cruz</t>
  </si>
  <si>
    <t>Dixon Owens</t>
  </si>
  <si>
    <t>Luciana Diaz</t>
  </si>
  <si>
    <t>Renata Hansen</t>
  </si>
  <si>
    <t>Santiago Williams</t>
  </si>
  <si>
    <t>Renata Rodriguez</t>
  </si>
  <si>
    <t>Tyrion Shaw</t>
  </si>
  <si>
    <t>Bey Powell</t>
  </si>
  <si>
    <t>Emmanuel Lannister</t>
  </si>
  <si>
    <t>Jema Hansen</t>
  </si>
  <si>
    <t>Luciana Washington</t>
  </si>
  <si>
    <t>Augustus Cooper</t>
  </si>
  <si>
    <t>Juno Rivera</t>
  </si>
  <si>
    <t>Braxton Gray</t>
  </si>
  <si>
    <t>Larson Harris</t>
  </si>
  <si>
    <t>Bey Anderson</t>
  </si>
  <si>
    <t>Aida Gray</t>
  </si>
  <si>
    <t>Pablo Thomas</t>
  </si>
  <si>
    <t>Danny Fuller</t>
  </si>
  <si>
    <t>Augustus Lannister</t>
  </si>
  <si>
    <t>Dominic Fernandez</t>
  </si>
  <si>
    <t>Dominic Shaw</t>
  </si>
  <si>
    <t>Arty Fuller</t>
  </si>
  <si>
    <t>Asta Torres</t>
  </si>
  <si>
    <t>Neander Ray</t>
  </si>
  <si>
    <t>Augustus Myers</t>
  </si>
  <si>
    <t>Emmanuel Perry</t>
  </si>
  <si>
    <t>Lucius Williamson</t>
  </si>
  <si>
    <t>Allison Roosevelt</t>
  </si>
  <si>
    <t>Isabella Hoover</t>
  </si>
  <si>
    <t>Geof Smith</t>
  </si>
  <si>
    <t>Mateo Vasquez</t>
  </si>
  <si>
    <t>Arty Ross</t>
  </si>
  <si>
    <t>Yelp Adams</t>
  </si>
  <si>
    <t>Juno Marshal</t>
  </si>
  <si>
    <t>Max Martinez</t>
  </si>
  <si>
    <t>Jamie Cox</t>
  </si>
  <si>
    <t>Alejandro Caliph</t>
  </si>
  <si>
    <t>Bey Ray</t>
  </si>
  <si>
    <t>Romeo Johnston</t>
  </si>
  <si>
    <t>Juliet Amazing</t>
  </si>
  <si>
    <t>Eddie Daniels</t>
  </si>
  <si>
    <t>Dyana Fuller</t>
  </si>
  <si>
    <t>Maxine Hunt</t>
  </si>
  <si>
    <t>Arty Amazing</t>
  </si>
  <si>
    <t>Zoe Gonzales</t>
  </si>
  <si>
    <t>Alejandro Foster</t>
  </si>
  <si>
    <t>Quimby Garcia</t>
  </si>
  <si>
    <t>Tyrion Cooper</t>
  </si>
  <si>
    <t>Ava Jordan</t>
  </si>
  <si>
    <t>Homer Marshal</t>
  </si>
  <si>
    <t>Renaldo Jordan</t>
  </si>
  <si>
    <t>Sara Perry</t>
  </si>
  <si>
    <t>Franklin Robinson</t>
  </si>
  <si>
    <t>Allison Johnson</t>
  </si>
  <si>
    <t>Louis Ray</t>
  </si>
  <si>
    <t>Calley Grayson</t>
  </si>
  <si>
    <t>Beta Washington</t>
  </si>
  <si>
    <t>Bey Roosevelt</t>
  </si>
  <si>
    <t>Donna Parsons</t>
  </si>
  <si>
    <t>Alejandro Cooper</t>
  </si>
  <si>
    <t>Stanis Smith</t>
  </si>
  <si>
    <t>Declan Cruz</t>
  </si>
  <si>
    <t>Lucius Daniels</t>
  </si>
  <si>
    <t>Juliet Bell</t>
  </si>
  <si>
    <t>Ramses Smith</t>
  </si>
  <si>
    <t>Mercy Smith</t>
  </si>
  <si>
    <t>May Rivera</t>
  </si>
  <si>
    <t>Sara Miller</t>
  </si>
  <si>
    <t>Steph Cruz</t>
  </si>
  <si>
    <t>Neander Jordan</t>
  </si>
  <si>
    <t>Zoe Hudson</t>
  </si>
  <si>
    <t>Bey Cruz</t>
  </si>
  <si>
    <t>Augustus Jefferson</t>
  </si>
  <si>
    <t>Norris Clinton</t>
  </si>
  <si>
    <t>Stephanie Wallace</t>
  </si>
  <si>
    <t>Jema Ramson</t>
  </si>
  <si>
    <t>Jamie Patterson</t>
  </si>
  <si>
    <t>Steph Bush</t>
  </si>
  <si>
    <t>Yelp Payne</t>
  </si>
  <si>
    <t>Patrick Miller</t>
  </si>
  <si>
    <t>Liza Torres</t>
  </si>
  <si>
    <t>Julian Smith</t>
  </si>
  <si>
    <t>Asta Holmes</t>
  </si>
  <si>
    <t>Beta Roosevelt</t>
  </si>
  <si>
    <t>Celia Lannister</t>
  </si>
  <si>
    <t>Bey Georgio</t>
  </si>
  <si>
    <t>Liza Gibson</t>
  </si>
  <si>
    <t>Larson Miller</t>
  </si>
  <si>
    <t>Luciana Hansen</t>
  </si>
  <si>
    <t>Mercy Brown</t>
  </si>
  <si>
    <t>Alejandro Myers</t>
  </si>
  <si>
    <t>Braxton Ross</t>
  </si>
  <si>
    <t>Aston Anderson</t>
  </si>
  <si>
    <t>Philomena Miller</t>
  </si>
  <si>
    <t>Yelp Watkins</t>
  </si>
  <si>
    <t>Ham Cox</t>
  </si>
  <si>
    <t>Demi Palmer</t>
  </si>
  <si>
    <t>Valeria Long</t>
  </si>
  <si>
    <t>Lucius Lannister</t>
  </si>
  <si>
    <t>Octavia Carr</t>
  </si>
  <si>
    <t>Arty Payne</t>
  </si>
  <si>
    <t>Sara Bailey</t>
  </si>
  <si>
    <t>Marcus Hudson</t>
  </si>
  <si>
    <t>Max Rider</t>
  </si>
  <si>
    <t>Alejandro Johnson</t>
  </si>
  <si>
    <t>Jamie Palmer</t>
  </si>
  <si>
    <t>Celia Wheeler</t>
  </si>
  <si>
    <t>May Hughes</t>
  </si>
  <si>
    <t>Steph Ross</t>
  </si>
  <si>
    <t>Celia Hoover</t>
  </si>
  <si>
    <t>Diego Rider</t>
  </si>
  <si>
    <t>Asta Hudson</t>
  </si>
  <si>
    <t>Marcus Parsons</t>
  </si>
  <si>
    <t>Calley Larson</t>
  </si>
  <si>
    <t>Elon Marshal</t>
  </si>
  <si>
    <t>Patrick McCoy</t>
  </si>
  <si>
    <t>Dyana Wheeler</t>
  </si>
  <si>
    <t>Alejandro Johnston</t>
  </si>
  <si>
    <t>Steph Gibson</t>
  </si>
  <si>
    <t>Arty Parsons</t>
  </si>
  <si>
    <t>Celia Rider</t>
  </si>
  <si>
    <t>Dixon Fernandez</t>
  </si>
  <si>
    <t>Diego Foster</t>
  </si>
  <si>
    <t>Declan Rodriguez</t>
  </si>
  <si>
    <t>Larson Hayes</t>
  </si>
  <si>
    <t>Delpha Perry</t>
  </si>
  <si>
    <t>Herbert Hudson</t>
  </si>
  <si>
    <t>Juno Jefferson</t>
  </si>
  <si>
    <t>Bey Cook</t>
  </si>
  <si>
    <t>Marcus Jiminez</t>
  </si>
  <si>
    <t>Luciana Bell</t>
  </si>
  <si>
    <t>Camila Sullivan</t>
  </si>
  <si>
    <t>Braxton Nichols</t>
  </si>
  <si>
    <t>Renaldo Martinez</t>
  </si>
  <si>
    <t>Sofia Hunt</t>
  </si>
  <si>
    <t>Asta Rivera</t>
  </si>
  <si>
    <t>Nicolaus Watkins</t>
  </si>
  <si>
    <t>Cyla Lincoln</t>
  </si>
  <si>
    <t>Patrick Torres</t>
  </si>
  <si>
    <t>Ramses Carson</t>
  </si>
  <si>
    <t>Luciana Ellis</t>
  </si>
  <si>
    <t>Quimby Gray</t>
  </si>
  <si>
    <t>Sara Carson</t>
  </si>
  <si>
    <t>Gregor Brown</t>
  </si>
  <si>
    <t>Alejandro Cox</t>
  </si>
  <si>
    <t>Louis Richardson</t>
  </si>
  <si>
    <t>Nicky Rider</t>
  </si>
  <si>
    <t>Caleph Torres</t>
  </si>
  <si>
    <t>Isabella Holmes</t>
  </si>
  <si>
    <t>Emmanuel Ray</t>
  </si>
  <si>
    <t>Renata Axle</t>
  </si>
  <si>
    <t>Mercy Bell</t>
  </si>
  <si>
    <t>Philip Long</t>
  </si>
  <si>
    <t>Ramses Williams</t>
  </si>
  <si>
    <t>Juliet Bailey</t>
  </si>
  <si>
    <t>Cyla Lopes</t>
  </si>
  <si>
    <t>Juliet Ray</t>
  </si>
  <si>
    <t>Sandy Carson</t>
  </si>
  <si>
    <t>Braxton Anderson</t>
  </si>
  <si>
    <t>Aida Powell</t>
  </si>
  <si>
    <t>Bertha Garza</t>
  </si>
  <si>
    <t>Ham Miller</t>
  </si>
  <si>
    <t>Donna Talbert</t>
  </si>
  <si>
    <t>Aida Hoover</t>
  </si>
  <si>
    <t>Roma Garcia</t>
  </si>
  <si>
    <t>Aston Holmes</t>
  </si>
  <si>
    <t>Janice Perry</t>
  </si>
  <si>
    <t>Billy McDonald</t>
  </si>
  <si>
    <t>Diego Oster</t>
  </si>
  <si>
    <t>Janus Hughes</t>
  </si>
  <si>
    <t>Nicky Bush</t>
  </si>
  <si>
    <t>Bey Vasquez</t>
  </si>
  <si>
    <t>Ham Thomas</t>
  </si>
  <si>
    <t>Ramses Bailey</t>
  </si>
  <si>
    <t>Juliet Owens</t>
  </si>
  <si>
    <t>Dominic Hansen</t>
  </si>
  <si>
    <t>Declan Amazing</t>
  </si>
  <si>
    <t>Dixon Bryant</t>
  </si>
  <si>
    <t>Stanis Jones</t>
  </si>
  <si>
    <t>Gelph Carson</t>
  </si>
  <si>
    <t>Dominic Grayson</t>
  </si>
  <si>
    <t>Camila Jacobs</t>
  </si>
  <si>
    <t>Isabella Ross</t>
  </si>
  <si>
    <t>Lanis Berry</t>
  </si>
  <si>
    <t>Romeo Gray</t>
  </si>
  <si>
    <t>Franklin Thomas</t>
  </si>
  <si>
    <t>Norris Ross</t>
  </si>
  <si>
    <t>Santiago Holmes</t>
  </si>
  <si>
    <t>Renata Hoover</t>
  </si>
  <si>
    <t>Selkirk Johnson</t>
  </si>
  <si>
    <t>Franklin Parsons</t>
  </si>
  <si>
    <t>Yelp Jefferson</t>
  </si>
  <si>
    <t>Asta Fuller</t>
  </si>
  <si>
    <t>Stanis Watkins</t>
  </si>
  <si>
    <t>Nicole Fernandez</t>
  </si>
  <si>
    <t>Donna Hudson</t>
  </si>
  <si>
    <t>Ballou Richardson</t>
  </si>
  <si>
    <t>Beta Hughes</t>
  </si>
  <si>
    <t>Ham Garza</t>
  </si>
  <si>
    <t>Santiago Rider</t>
  </si>
  <si>
    <t>Augustus Fisher</t>
  </si>
  <si>
    <t>Quimby Grant</t>
  </si>
  <si>
    <t>Dixon Wagner</t>
  </si>
  <si>
    <t>Philomena Garcia</t>
  </si>
  <si>
    <t>Norris Caliph</t>
  </si>
  <si>
    <t>Sofia Carr</t>
  </si>
  <si>
    <t>Juno McDonald</t>
  </si>
  <si>
    <t>Percival Lannister</t>
  </si>
  <si>
    <t>Nicky Rivera</t>
  </si>
  <si>
    <t>Aston Cruz</t>
  </si>
  <si>
    <t>Camila Jones</t>
  </si>
  <si>
    <t>Arty Johnston</t>
  </si>
  <si>
    <t>Camila Shaw</t>
  </si>
  <si>
    <t>Dominic Cox</t>
  </si>
  <si>
    <t>Mateo Wallace</t>
  </si>
  <si>
    <t>Nicolaus Lopes</t>
  </si>
  <si>
    <t>Janice Banks</t>
  </si>
  <si>
    <t>Valeria Cook</t>
  </si>
  <si>
    <t>Derrick Palmer</t>
  </si>
  <si>
    <t>Liza Ferguson</t>
  </si>
  <si>
    <t>Declan Johnston</t>
  </si>
  <si>
    <t>Bertha Arnold</t>
  </si>
  <si>
    <t>May Rice</t>
  </si>
  <si>
    <t>Beta Bryant</t>
  </si>
  <si>
    <t>Nicolaus Cruz</t>
  </si>
  <si>
    <t>Neo Anderson</t>
  </si>
  <si>
    <t>Caleb Larson</t>
  </si>
  <si>
    <t>Ballou Marshal</t>
  </si>
  <si>
    <t>Tuesday Wagner</t>
  </si>
  <si>
    <t>Derrick Powell</t>
  </si>
  <si>
    <t>Calley Brown</t>
  </si>
  <si>
    <t>Dominic Bishop</t>
  </si>
  <si>
    <t>Gregor Hughes</t>
  </si>
  <si>
    <t>Zoe Miller</t>
  </si>
  <si>
    <t>Lala Torres</t>
  </si>
  <si>
    <t>Liza Owens</t>
  </si>
  <si>
    <t>Elon Diaz</t>
  </si>
  <si>
    <t>Gelph Jordan</t>
  </si>
  <si>
    <t>Jamie Gray</t>
  </si>
  <si>
    <t>Renata Cruz</t>
  </si>
  <si>
    <t>Larson Bailey</t>
  </si>
  <si>
    <t>April Jacobs</t>
  </si>
  <si>
    <t>Sara Long</t>
  </si>
  <si>
    <t>Maxine Brown</t>
  </si>
  <si>
    <t>Nicole Daniels</t>
  </si>
  <si>
    <t>Diego Bailey</t>
  </si>
  <si>
    <t>Percival Anderson</t>
  </si>
  <si>
    <t>Mateo Knight</t>
  </si>
  <si>
    <t>Larson Lincoln</t>
  </si>
  <si>
    <t>Nicolaus Lannister</t>
  </si>
  <si>
    <t>Juno Adams</t>
  </si>
  <si>
    <t>Dyana Richardson</t>
  </si>
  <si>
    <t>Sten Wheeler</t>
  </si>
  <si>
    <t>Ballou Hughes</t>
  </si>
  <si>
    <t>Juliet Foster</t>
  </si>
  <si>
    <t>Diego Castillo</t>
  </si>
  <si>
    <t>Renata Lincoln</t>
  </si>
  <si>
    <t>Mateo Ray</t>
  </si>
  <si>
    <t>Celia Carr</t>
  </si>
  <si>
    <t>Ham Georgio</t>
  </si>
  <si>
    <t>Lucius Owens</t>
  </si>
  <si>
    <t>Fenton Richardson</t>
  </si>
  <si>
    <t>Billy Marshal</t>
  </si>
  <si>
    <t>Marcus Ferguson</t>
  </si>
  <si>
    <t>Augustus Rider</t>
  </si>
  <si>
    <t>Juliet Perry</t>
  </si>
  <si>
    <t>Gordon Watkins</t>
  </si>
  <si>
    <t>Homer Georgio</t>
  </si>
  <si>
    <t>Herbert Banks</t>
  </si>
  <si>
    <t>Dixon Powell</t>
  </si>
  <si>
    <t>Percival Thomas</t>
  </si>
  <si>
    <t>Maxine Garza</t>
  </si>
  <si>
    <t>Marcus Lincoln</t>
  </si>
  <si>
    <t>Fenton Sullivan</t>
  </si>
  <si>
    <t>Juno Harris</t>
  </si>
  <si>
    <t>Caleb Bishop</t>
  </si>
  <si>
    <t>Cracius Thomas</t>
  </si>
  <si>
    <t>Alejandro Grey</t>
  </si>
  <si>
    <t>Luciana Castillo</t>
  </si>
  <si>
    <t>Ballou Owens</t>
  </si>
  <si>
    <t>Herbert Bailey</t>
  </si>
  <si>
    <t>Roma Banks</t>
  </si>
  <si>
    <t>Sandy Diaz</t>
  </si>
  <si>
    <t>Jema Fuller</t>
  </si>
  <si>
    <t>Juliet Rider</t>
  </si>
  <si>
    <t>Larson Nichols</t>
  </si>
  <si>
    <t>Eddie Watkins</t>
  </si>
  <si>
    <t>Wylie McDonald</t>
  </si>
  <si>
    <t>Aida Cruz</t>
  </si>
  <si>
    <t>Nicky Jacobs</t>
  </si>
  <si>
    <t>Emilio Jefferson</t>
  </si>
  <si>
    <t>Gelph Johnson</t>
  </si>
  <si>
    <t>Jema Carr</t>
  </si>
  <si>
    <t>Nicolaus Wheeler</t>
  </si>
  <si>
    <t>May Richardson</t>
  </si>
  <si>
    <t>Perkins Arnold</t>
  </si>
  <si>
    <t>Juno Wheeler</t>
  </si>
  <si>
    <t>Derrick Ross</t>
  </si>
  <si>
    <t>Franklin Watkins</t>
  </si>
  <si>
    <t>Elon Clinton</t>
  </si>
  <si>
    <t>Ham Perry</t>
  </si>
  <si>
    <t>Mercy Martinez</t>
  </si>
  <si>
    <t>Janice Adams</t>
  </si>
  <si>
    <t>Mercy Fernandez</t>
  </si>
  <si>
    <t>Caleph Johnston</t>
  </si>
  <si>
    <t>Camila Hughes</t>
  </si>
  <si>
    <t>Elon Rivera</t>
  </si>
  <si>
    <t>Ballou Cox</t>
  </si>
  <si>
    <t>Beta Richardson</t>
  </si>
  <si>
    <t>Augustus Shaw</t>
  </si>
  <si>
    <t>Bodi Perry</t>
  </si>
  <si>
    <t>Romeo Garcia</t>
  </si>
  <si>
    <t>May Carr</t>
  </si>
  <si>
    <t>Yelp Torres</t>
  </si>
  <si>
    <t>Lala Diaz</t>
  </si>
  <si>
    <t>Aston Lannister</t>
  </si>
  <si>
    <t>Sten Bishop</t>
  </si>
  <si>
    <t>Elon Jefferson</t>
  </si>
  <si>
    <t>Caleph Ellis</t>
  </si>
  <si>
    <t>Lanis Richardson</t>
  </si>
  <si>
    <t>Tuesday Myers</t>
  </si>
  <si>
    <t>Homer Reynolds</t>
  </si>
  <si>
    <t>Gordon Diaz</t>
  </si>
  <si>
    <t>Allison Johnston</t>
  </si>
  <si>
    <t>Zoe Darling</t>
  </si>
  <si>
    <t>Delpha Carr</t>
  </si>
  <si>
    <t>Romeo Palmer</t>
  </si>
  <si>
    <t>Lanis Cooper</t>
  </si>
  <si>
    <t>Braxton Ferguson</t>
  </si>
  <si>
    <t>Emmanuel Fernandez</t>
  </si>
  <si>
    <t>Neander Ramson</t>
  </si>
  <si>
    <t>Yelp McCoy</t>
  </si>
  <si>
    <t>Eddie Jacobs</t>
  </si>
  <si>
    <t>Sofia Johnson</t>
  </si>
  <si>
    <t>Gelph Knight</t>
  </si>
  <si>
    <t>Allison Banks</t>
  </si>
  <si>
    <t>Jamie Johnston</t>
  </si>
  <si>
    <t>Declan Bush</t>
  </si>
  <si>
    <t>Gordon Thomas</t>
  </si>
  <si>
    <t>Patrick Arnold</t>
  </si>
  <si>
    <t>Max Hansen</t>
  </si>
  <si>
    <t>Fenton Bryant</t>
  </si>
  <si>
    <t>Billy Holmes</t>
  </si>
  <si>
    <t>Luciana Arnold</t>
  </si>
  <si>
    <t>Nicole Rodriguez</t>
  </si>
  <si>
    <t>Herbert Berry</t>
  </si>
  <si>
    <t>Gelph Washington</t>
  </si>
  <si>
    <t>Bertha Rice</t>
  </si>
  <si>
    <t>Norris Bailey</t>
  </si>
  <si>
    <t>Gregor Richardson</t>
  </si>
  <si>
    <t>Philip Nichols</t>
  </si>
  <si>
    <t>Juno Gonzales</t>
  </si>
  <si>
    <t>Augustus Knight</t>
  </si>
  <si>
    <t>Stanis Knight</t>
  </si>
  <si>
    <t>Tyrion Bishop</t>
  </si>
  <si>
    <t>Cyla Bell</t>
  </si>
  <si>
    <t>Sten Darling</t>
  </si>
  <si>
    <t>Neander Talbert</t>
  </si>
  <si>
    <t>April Owens</t>
  </si>
  <si>
    <t>Neo Jacobs</t>
  </si>
  <si>
    <t>Nova Ray</t>
  </si>
  <si>
    <t>Bertha Williams</t>
  </si>
  <si>
    <t>Aida Rider</t>
  </si>
  <si>
    <t>Elon Hunt</t>
  </si>
  <si>
    <t>Stephanie Lincoln</t>
  </si>
  <si>
    <t>Billy Owens</t>
  </si>
  <si>
    <t>Demi Williamson</t>
  </si>
  <si>
    <t>Ramses Wheeler</t>
  </si>
  <si>
    <t>Aida Reynolds</t>
  </si>
  <si>
    <t>Delpha Cook</t>
  </si>
  <si>
    <t>Nicky Bell</t>
  </si>
  <si>
    <t>Sofia Jiminez</t>
  </si>
  <si>
    <t>Larson Fuller</t>
  </si>
  <si>
    <t>Stanis Banks</t>
  </si>
  <si>
    <t>Ava Fuller</t>
  </si>
  <si>
    <t>Declan McCoy</t>
  </si>
  <si>
    <t>Juno Cruz</t>
  </si>
  <si>
    <t>Caleph Rodriguez</t>
  </si>
  <si>
    <t>Mercy Axle</t>
  </si>
  <si>
    <t>Renaldo Adams</t>
  </si>
  <si>
    <t>Danny Adams</t>
  </si>
  <si>
    <t>Billy Garcia</t>
  </si>
  <si>
    <t>Bey Ramson</t>
  </si>
  <si>
    <t>Bertha Larson</t>
  </si>
  <si>
    <t>Sara Anderson</t>
  </si>
  <si>
    <t>Philomena Jacobs</t>
  </si>
  <si>
    <t>Liza Oster</t>
  </si>
  <si>
    <t>Emilio Bush</t>
  </si>
  <si>
    <t>Fenton Johnson</t>
  </si>
  <si>
    <t>Dyana Sullivan</t>
  </si>
  <si>
    <t>Tuesday Sullivan</t>
  </si>
  <si>
    <t>Lanis Talbert</t>
  </si>
  <si>
    <t>Ramses Grant</t>
  </si>
  <si>
    <t>Wylie Jacobs</t>
  </si>
  <si>
    <t>Philomena Bell</t>
  </si>
  <si>
    <t>Isabella Long</t>
  </si>
  <si>
    <t>Larson Vasquez</t>
  </si>
  <si>
    <t>Dixon Skye</t>
  </si>
  <si>
    <t>Steph McDonald</t>
  </si>
  <si>
    <t>Tyrion Bryant</t>
  </si>
  <si>
    <t>Stephanie Skye</t>
  </si>
  <si>
    <t>Ramses Hayes</t>
  </si>
  <si>
    <t>Demi Grayson</t>
  </si>
  <si>
    <t>Elon Roosevelt</t>
  </si>
  <si>
    <t>Dyana Lincoln</t>
  </si>
  <si>
    <t>Bodi Gonzales</t>
  </si>
  <si>
    <t>Tuesday Marshal</t>
  </si>
  <si>
    <t>Celia Grayson</t>
  </si>
  <si>
    <t>Gelph Garza</t>
  </si>
  <si>
    <t>Emmanuel Carr</t>
  </si>
  <si>
    <t>Isabella Hudson</t>
  </si>
  <si>
    <t>Sofia Arnold</t>
  </si>
  <si>
    <t>Lala Grey</t>
  </si>
  <si>
    <t>Diego Hughes</t>
  </si>
  <si>
    <t>Nicolaus Hughes</t>
  </si>
  <si>
    <t>Elon Smith</t>
  </si>
  <si>
    <t>Asta Johnson</t>
  </si>
  <si>
    <t>Stephanie Ellis</t>
  </si>
  <si>
    <t>Pablo Payne</t>
  </si>
  <si>
    <t>Homer Gibson</t>
  </si>
  <si>
    <t>Allison Ramson</t>
  </si>
  <si>
    <t>Franklin Darling</t>
  </si>
  <si>
    <t>Philip Hansen</t>
  </si>
  <si>
    <t>Dominic Nichols</t>
  </si>
  <si>
    <t>Fenton Arnold</t>
  </si>
  <si>
    <t>Larson Knight</t>
  </si>
  <si>
    <t>Herbert Powell</t>
  </si>
  <si>
    <t>Renaldo Jefferson</t>
  </si>
  <si>
    <t>Aida Harris</t>
  </si>
  <si>
    <t>Augustus Larson</t>
  </si>
  <si>
    <t>Wylie Larson</t>
  </si>
  <si>
    <t>Alejandro Lopes</t>
  </si>
  <si>
    <t>Mateo Fernandez</t>
  </si>
  <si>
    <t>April Perry</t>
  </si>
  <si>
    <t>Percival Gray</t>
  </si>
  <si>
    <t>Aston Smith</t>
  </si>
  <si>
    <t>Lanis Castillo</t>
  </si>
  <si>
    <t>Cracius Ray</t>
  </si>
  <si>
    <t>Delpha Sullivan</t>
  </si>
  <si>
    <t>Emmanuel Rider</t>
  </si>
  <si>
    <t>Julian Washington</t>
  </si>
  <si>
    <t>Selkirk Nichols</t>
  </si>
  <si>
    <t>Mateo Patterson</t>
  </si>
  <si>
    <t>Tyrion Johnston</t>
  </si>
  <si>
    <t>Marcus Anthony</t>
  </si>
  <si>
    <t>Bodi Holmes</t>
  </si>
  <si>
    <t>Nicky McCoy</t>
  </si>
  <si>
    <t>Maxine Johnson</t>
  </si>
  <si>
    <t>Louis Fuller</t>
  </si>
  <si>
    <t>Emmanuel McCoy</t>
  </si>
  <si>
    <t>Allison Robinson</t>
  </si>
  <si>
    <t>Cracius Oster</t>
  </si>
  <si>
    <t>Nicolaus Rivera</t>
  </si>
  <si>
    <t>Max Marshal</t>
  </si>
  <si>
    <t>Nicolaus Parsons</t>
  </si>
  <si>
    <t>Renaldo Grayson</t>
  </si>
  <si>
    <t>Wylie Grant</t>
  </si>
  <si>
    <t>Caleph Washington</t>
  </si>
  <si>
    <t>Isabella Berry</t>
  </si>
  <si>
    <t>Gelph Fuller</t>
  </si>
  <si>
    <t>Aston Powell</t>
  </si>
  <si>
    <t>Aida Thomas</t>
  </si>
  <si>
    <t>Delpha Clinton</t>
  </si>
  <si>
    <t>Dominic Brown</t>
  </si>
  <si>
    <t>Tyrion Hughes</t>
  </si>
  <si>
    <t>Gregor Wagner</t>
  </si>
  <si>
    <t>Nicole Hayes</t>
  </si>
  <si>
    <t>Donna Robinson</t>
  </si>
  <si>
    <t>Steph Harris</t>
  </si>
  <si>
    <t>Homer Castillo</t>
  </si>
  <si>
    <t>Calley Skye</t>
  </si>
  <si>
    <t>Elena Nichols</t>
  </si>
  <si>
    <t>Herbert Clinton</t>
  </si>
  <si>
    <t>Sara Hansen</t>
  </si>
  <si>
    <t>Eddie Wagner</t>
  </si>
  <si>
    <t>April Sullivan</t>
  </si>
  <si>
    <t>Quimby Georgio</t>
  </si>
  <si>
    <t>Braxton Shaw</t>
  </si>
  <si>
    <t>Juno Torres</t>
  </si>
  <si>
    <t>Ramses Patterson</t>
  </si>
  <si>
    <t>Caleb Marshal</t>
  </si>
  <si>
    <t>Sandy Parsons</t>
  </si>
  <si>
    <t>Philip Lopes</t>
  </si>
  <si>
    <t>Ham Montgomery</t>
  </si>
  <si>
    <t>Lanis Smith</t>
  </si>
  <si>
    <t>Ballou Myers</t>
  </si>
  <si>
    <t>Gordon Larson</t>
  </si>
  <si>
    <t>Tuesday Carson</t>
  </si>
  <si>
    <t>Octavia Ferguson</t>
  </si>
  <si>
    <t>Juliet Georgio</t>
  </si>
  <si>
    <t>Elon Talbert</t>
  </si>
  <si>
    <t>Homer Bishop</t>
  </si>
  <si>
    <t>Sten Wagner</t>
  </si>
  <si>
    <t>Nicole Robinson</t>
  </si>
  <si>
    <t>Lala Jefferson</t>
  </si>
  <si>
    <t>Augustus Carr</t>
  </si>
  <si>
    <t>Philip Garza</t>
  </si>
  <si>
    <t>Juliet Marshal</t>
  </si>
  <si>
    <t>Roma Powell</t>
  </si>
  <si>
    <t>Herbert Castillo</t>
  </si>
  <si>
    <t>Jema Thomas</t>
  </si>
  <si>
    <t>Marcus Grant</t>
  </si>
  <si>
    <t>Nicky Long</t>
  </si>
  <si>
    <t>Celia Hunt</t>
  </si>
  <si>
    <t>Philomena Oster</t>
  </si>
  <si>
    <t>Julian Cook</t>
  </si>
  <si>
    <t>Bertha McCoy</t>
  </si>
  <si>
    <t>Valeria Berry</t>
  </si>
  <si>
    <t>Philip Wallace</t>
  </si>
  <si>
    <t>Lanis Axle</t>
  </si>
  <si>
    <t>Dyana Hansen</t>
  </si>
  <si>
    <t>Percival Bailey</t>
  </si>
  <si>
    <t>Zoe Hansen</t>
  </si>
  <si>
    <t>Neander Lopes</t>
  </si>
  <si>
    <t>Selkirk Owens</t>
  </si>
  <si>
    <t>Patrick Ferguson</t>
  </si>
  <si>
    <t>Patrick Clinton</t>
  </si>
  <si>
    <t>Bodi Fuller</t>
  </si>
  <si>
    <t>Ballou Payne</t>
  </si>
  <si>
    <t>Perkins Rivera</t>
  </si>
  <si>
    <t>Norris Hughes</t>
  </si>
  <si>
    <t>Aston Montgomery</t>
  </si>
  <si>
    <t>Marcus Palmer</t>
  </si>
  <si>
    <t>Sofia Lincoln</t>
  </si>
  <si>
    <t>Herbert Johnson</t>
  </si>
  <si>
    <t>Tuesday Clinton</t>
  </si>
  <si>
    <t>Cracius Grayson</t>
  </si>
  <si>
    <t>Isabella Bailey</t>
  </si>
  <si>
    <t>Calley Fernandez</t>
  </si>
  <si>
    <t>Nova Foster</t>
  </si>
  <si>
    <t>Zoe Cox</t>
  </si>
  <si>
    <t>Aston Darling</t>
  </si>
  <si>
    <t>Ham Owens</t>
  </si>
  <si>
    <t>Julian Marshal</t>
  </si>
  <si>
    <t>Luciana Thomas</t>
  </si>
  <si>
    <t>Stephanie Long</t>
  </si>
  <si>
    <t>Declan Brown</t>
  </si>
  <si>
    <t>Gelph Hughes</t>
  </si>
  <si>
    <t>Patrick Reynolds</t>
  </si>
  <si>
    <t>Derrick Oster</t>
  </si>
  <si>
    <t>Ramses McDonald</t>
  </si>
  <si>
    <t>Celia Smith</t>
  </si>
  <si>
    <t>Maxine Berry</t>
  </si>
  <si>
    <t>Cyla Smith</t>
  </si>
  <si>
    <t>Ramses Ross</t>
  </si>
  <si>
    <t>Bertha Grey</t>
  </si>
  <si>
    <t>Cracius Myers</t>
  </si>
  <si>
    <t>Herbert Palmer</t>
  </si>
  <si>
    <t>Geof Long</t>
  </si>
  <si>
    <t>Zoe Jordan</t>
  </si>
  <si>
    <t>Selkirk Johnston</t>
  </si>
  <si>
    <t>Cracius Talbert</t>
  </si>
  <si>
    <t>Lucius Martinez</t>
  </si>
  <si>
    <t>Asta Ferguson</t>
  </si>
  <si>
    <t>Norris Ferguson</t>
  </si>
  <si>
    <t>Roma Rodriguez</t>
  </si>
  <si>
    <t>Billy Bailey</t>
  </si>
  <si>
    <t>Celia Ramson</t>
  </si>
  <si>
    <t>Patrick Myers</t>
  </si>
  <si>
    <t>Cyla Vasquez</t>
  </si>
  <si>
    <t>Juno Anthony</t>
  </si>
  <si>
    <t>Ballou Montgomery</t>
  </si>
  <si>
    <t>Julian Talbert</t>
  </si>
  <si>
    <t>Nicole Gonzales</t>
  </si>
  <si>
    <t>Homer Rider</t>
  </si>
  <si>
    <t>Janus Hayes</t>
  </si>
  <si>
    <t>Santiago Talbert</t>
  </si>
  <si>
    <t>Octavia Gray</t>
  </si>
  <si>
    <t>April Hansen</t>
  </si>
  <si>
    <t>Alejandro Grant</t>
  </si>
  <si>
    <t>Geof Garcia</t>
  </si>
  <si>
    <t>Norris Watkins</t>
  </si>
  <si>
    <t>Octavia Smith</t>
  </si>
  <si>
    <t>Mercy Oster</t>
  </si>
  <si>
    <t>Steph Miller</t>
  </si>
  <si>
    <t>Donna Rice</t>
  </si>
  <si>
    <t>Renaldo Myers</t>
  </si>
  <si>
    <t>Pablo Ferguson</t>
  </si>
  <si>
    <t>Wylie Johnston</t>
  </si>
  <si>
    <t>Steph Jones</t>
  </si>
  <si>
    <t>Janus Holmes</t>
  </si>
  <si>
    <t>Derrick Hayes</t>
  </si>
  <si>
    <t>Dyana Hudson</t>
  </si>
  <si>
    <t>Stanis Oster</t>
  </si>
  <si>
    <t>Lala Jones</t>
  </si>
  <si>
    <t>Philip Roosevelt</t>
  </si>
  <si>
    <t>Juno Holmes</t>
  </si>
  <si>
    <t>Jamie Knight</t>
  </si>
  <si>
    <t>Pablo Shaw</t>
  </si>
  <si>
    <t>Renaldo Wheeler</t>
  </si>
  <si>
    <t>Neo Torres</t>
  </si>
  <si>
    <t>Ham McCoy</t>
  </si>
  <si>
    <t>Asta Vasquez</t>
  </si>
  <si>
    <t>Cracius Lincoln</t>
  </si>
  <si>
    <t>Quimby Ellis</t>
  </si>
  <si>
    <t>Ramses Arnold</t>
  </si>
  <si>
    <t>Donna Berry</t>
  </si>
  <si>
    <t>Cyla Daniels</t>
  </si>
  <si>
    <t>Roma Brown</t>
  </si>
  <si>
    <t>Bodi Harris</t>
  </si>
  <si>
    <t>Julian Long</t>
  </si>
  <si>
    <t>Delpha Hayes</t>
  </si>
  <si>
    <t>Sara Thomas</t>
  </si>
  <si>
    <t>Selkirk Hudson</t>
  </si>
  <si>
    <t>Delpha Bell</t>
  </si>
  <si>
    <t>Eddie Gonzales</t>
  </si>
  <si>
    <t>Celia Anthony</t>
  </si>
  <si>
    <t>Marcus Martinez</t>
  </si>
  <si>
    <t>Gregor Rodriguez</t>
  </si>
  <si>
    <t>Asta Adams</t>
  </si>
  <si>
    <t>Neander Vasquez</t>
  </si>
  <si>
    <t>Jema Harris</t>
  </si>
  <si>
    <t>Octavia Arnold</t>
  </si>
  <si>
    <t>Norris Hayes</t>
  </si>
  <si>
    <t>Zoe Lannister</t>
  </si>
  <si>
    <t>Tuesday Fisher</t>
  </si>
  <si>
    <t>Marcus Grayson</t>
  </si>
  <si>
    <t>Diego Ray</t>
  </si>
  <si>
    <t>Sandy Hayes</t>
  </si>
  <si>
    <t>Sten Bush</t>
  </si>
  <si>
    <t>Patrick Watkins</t>
  </si>
  <si>
    <t>Declan Cox</t>
  </si>
  <si>
    <t>Cracius Garza</t>
  </si>
  <si>
    <t>Asta Diaz</t>
  </si>
  <si>
    <t>Norris Talbert</t>
  </si>
  <si>
    <t>Homer Smith</t>
  </si>
  <si>
    <t>Elena Ray</t>
  </si>
  <si>
    <t>Valeria Ross</t>
  </si>
  <si>
    <t>Cyla Sullivan</t>
  </si>
  <si>
    <t>Jema Cox</t>
  </si>
  <si>
    <t>Demi Ramson</t>
  </si>
  <si>
    <t>Lala Ramson</t>
  </si>
  <si>
    <t>Augustus Wheeler</t>
  </si>
  <si>
    <t>Romeo Torres</t>
  </si>
  <si>
    <t>Billy Reynolds</t>
  </si>
  <si>
    <t>Renata Berry</t>
  </si>
  <si>
    <t>Max Cox</t>
  </si>
  <si>
    <t>Neo Darling</t>
  </si>
  <si>
    <t>Julian Williams</t>
  </si>
  <si>
    <t>Octavia Fuller</t>
  </si>
  <si>
    <t>Maxine Gibson</t>
  </si>
  <si>
    <t>Franklin Berry</t>
  </si>
  <si>
    <t>Steph Bishop</t>
  </si>
  <si>
    <t>Nova Ferguson</t>
  </si>
  <si>
    <t>Alejandro Shaw</t>
  </si>
  <si>
    <t>Liza Georgio</t>
  </si>
  <si>
    <t>Delpha Rider</t>
  </si>
  <si>
    <t>Donna Fisher</t>
  </si>
  <si>
    <t>Octavia Cook</t>
  </si>
  <si>
    <t>Tyrion Reynolds</t>
  </si>
  <si>
    <t>Ballou Bell</t>
  </si>
  <si>
    <t>Juliet Berry</t>
  </si>
  <si>
    <t>Aston Sullivan</t>
  </si>
  <si>
    <t>Herbert Marshal</t>
  </si>
  <si>
    <t>Perkins Perry</t>
  </si>
  <si>
    <t>Louis Bailey</t>
  </si>
  <si>
    <t>Ava Patterson</t>
  </si>
  <si>
    <t>Max Miller</t>
  </si>
  <si>
    <t>Gordon Owens</t>
  </si>
  <si>
    <t>Sandy Williamson</t>
  </si>
  <si>
    <t>Sandy Wallace</t>
  </si>
  <si>
    <t>Declan Knight</t>
  </si>
  <si>
    <t>Herbert Ellis</t>
  </si>
  <si>
    <t>Gregor Thomas</t>
  </si>
  <si>
    <t>Max Perry</t>
  </si>
  <si>
    <t>Marcus McDonald</t>
  </si>
  <si>
    <t>Percival Parsons</t>
  </si>
  <si>
    <t>Camila Lincoln</t>
  </si>
  <si>
    <t>Ham Powell</t>
  </si>
  <si>
    <t>Bodi Fisher</t>
  </si>
  <si>
    <t>Luciana Reynolds</t>
  </si>
  <si>
    <t>Roma Long</t>
  </si>
  <si>
    <t>Asta Carson</t>
  </si>
  <si>
    <t>Bey McCoy</t>
  </si>
  <si>
    <t>Arty Jacobs</t>
  </si>
  <si>
    <t>Danny Grey</t>
  </si>
  <si>
    <t>Caleph Rivera</t>
  </si>
  <si>
    <t>Declan Rivera</t>
  </si>
  <si>
    <t>Nicolaus Fisher</t>
  </si>
  <si>
    <t>Ramses Jones</t>
  </si>
  <si>
    <t>Celia Anderson</t>
  </si>
  <si>
    <t>Geof Vasquez</t>
  </si>
  <si>
    <t>Ballou Amazing</t>
  </si>
  <si>
    <t>Isabella Amazing</t>
  </si>
  <si>
    <t>Cracius Rice</t>
  </si>
  <si>
    <t>Billy Richardson</t>
  </si>
  <si>
    <t>Jamie Hoover</t>
  </si>
  <si>
    <t>Stevan Miller</t>
  </si>
  <si>
    <t>Arty Hughes</t>
  </si>
  <si>
    <t>Tyrion Jefferson</t>
  </si>
  <si>
    <t>Jamie Owens</t>
  </si>
  <si>
    <t>Max Harris</t>
  </si>
  <si>
    <t>Julian Garcia</t>
  </si>
  <si>
    <t>Stanis Patterson</t>
  </si>
  <si>
    <t>Quimby Cooper</t>
  </si>
  <si>
    <t>Julian Carson</t>
  </si>
  <si>
    <t>Sten Fernandez</t>
  </si>
  <si>
    <t>Juno Patterson</t>
  </si>
  <si>
    <t>Zoe Knight</t>
  </si>
  <si>
    <t>Cracius Johnston</t>
  </si>
  <si>
    <t>Alejandro Oster</t>
  </si>
  <si>
    <t>April Fernandez</t>
  </si>
  <si>
    <t>Marcus Hansen</t>
  </si>
  <si>
    <t>Ramses Talbert</t>
  </si>
  <si>
    <t>Renata Miller</t>
  </si>
  <si>
    <t>Sara Talbert</t>
  </si>
  <si>
    <t>Stephanie Robinson</t>
  </si>
  <si>
    <t>Max Diaz</t>
  </si>
  <si>
    <t>Sara Myers</t>
  </si>
  <si>
    <t>Camila Cook</t>
  </si>
  <si>
    <t>Braxton Anthony</t>
  </si>
  <si>
    <t>Ballou Hunt</t>
  </si>
  <si>
    <t>Elena Bryant</t>
  </si>
  <si>
    <t>Asta Caliph</t>
  </si>
  <si>
    <t>Santiago Bryant</t>
  </si>
  <si>
    <t>Caleph Lannister</t>
  </si>
  <si>
    <t>Marcus Washington</t>
  </si>
  <si>
    <t>Sten Johnston</t>
  </si>
  <si>
    <t>Jema Talbert</t>
  </si>
  <si>
    <t>Roma Cooper</t>
  </si>
  <si>
    <t>May Grayson</t>
  </si>
  <si>
    <t>Luciana Gray</t>
  </si>
  <si>
    <t>Fenton Powell</t>
  </si>
  <si>
    <t>Danny Oster</t>
  </si>
  <si>
    <t>Philomena Shaw</t>
  </si>
  <si>
    <t>Maxine Diaz</t>
  </si>
  <si>
    <t>Caleph Fuller</t>
  </si>
  <si>
    <t>Juno Williams</t>
  </si>
  <si>
    <t>Mercy Carson</t>
  </si>
  <si>
    <t>Asta McCoy</t>
  </si>
  <si>
    <t>Yelp Myers</t>
  </si>
  <si>
    <t>Sara Bush</t>
  </si>
  <si>
    <t>Renata Brown</t>
  </si>
  <si>
    <t>Maxine Thomas</t>
  </si>
  <si>
    <t>Max Axle</t>
  </si>
  <si>
    <t>Danny Georgio</t>
  </si>
  <si>
    <t>Emmanuel Owens</t>
  </si>
  <si>
    <t>Bey Skye</t>
  </si>
  <si>
    <t>Wylie Powell</t>
  </si>
  <si>
    <t>Nicky Vasquez</t>
  </si>
  <si>
    <t>Fenton Harris</t>
  </si>
  <si>
    <t>Declan Cooper</t>
  </si>
  <si>
    <t>Ballou Clinton</t>
  </si>
  <si>
    <t>Lanis Grant</t>
  </si>
  <si>
    <t>Franklin Smith</t>
  </si>
  <si>
    <t>Caleph Berry</t>
  </si>
  <si>
    <t>Marcus Skye</t>
  </si>
  <si>
    <t>Bey Garza</t>
  </si>
  <si>
    <t>Lala Ross</t>
  </si>
  <si>
    <t>Maxine Roosevelt</t>
  </si>
  <si>
    <t>Nova Axle</t>
  </si>
  <si>
    <t>Herbert Grayson</t>
  </si>
  <si>
    <t>Derrick Daniels</t>
  </si>
  <si>
    <t>Romeo Adams</t>
  </si>
  <si>
    <t>Yelp Fisher</t>
  </si>
  <si>
    <t>Ham Nichols</t>
  </si>
  <si>
    <t>Stephanie Jacobs</t>
  </si>
  <si>
    <t>Maxine Rivera</t>
  </si>
  <si>
    <t>Sofia Darling</t>
  </si>
  <si>
    <t>Roma Holmes</t>
  </si>
  <si>
    <t>Billy Hansen</t>
  </si>
  <si>
    <t>Elena Jiminez</t>
  </si>
  <si>
    <t>Patrick Smith</t>
  </si>
  <si>
    <t>Caleph Rider</t>
  </si>
  <si>
    <t>Ham Skye</t>
  </si>
  <si>
    <t>Luciana Roosevelt</t>
  </si>
  <si>
    <t>Lala Daniels</t>
  </si>
  <si>
    <t>Neo Grayson</t>
  </si>
  <si>
    <t>How much was paid for the course, $100 to $650</t>
  </si>
  <si>
    <t>Whether the person signed up actually attended (1=Yes)</t>
  </si>
  <si>
    <t>1,658 different individuals</t>
  </si>
  <si>
    <t>2,191 signed up</t>
  </si>
  <si>
    <t>2,081 actually attended</t>
  </si>
  <si>
    <t>All in 2015 and 2016, 59 different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</si>
</sst>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&quot;seconds&quot;"/>
    <numFmt numFmtId="165" formatCode="0.0"/>
    <numFmt numFmtId="166" formatCode="_(* #,##0_);_(* \(#,##0\);_(* &quot;-&quot;??_);_(@_)"/>
    <numFmt numFmtId="167" formatCode="[$-409]d\-mmm\-yy;@"/>
    <numFmt numFmtId="168" formatCode="000"/>
    <numFmt numFmtId="169" formatCode="[$-F800]dddd\,\ mmmm\ dd\,\ yyyy"/>
    <numFmt numFmtId="170" formatCode="m/d;@"/>
    <numFmt numFmtId="171" formatCode="m/d/yy;@"/>
    <numFmt numFmtId="172" formatCode="[$-409]d\-mmm;@"/>
    <numFmt numFmtId="173" formatCode="[$-409]dd\-mmm\-yy;@"/>
    <numFmt numFmtId="174" formatCode="[$-409]m/d/yy\ h:mm\ AM/PM;@"/>
    <numFmt numFmtId="175" formatCode="m/d/yy\ h:mm;@"/>
    <numFmt numFmtId="176" formatCode="m/d/yyyy;@"/>
    <numFmt numFmtId="177" formatCode="0.0%"/>
    <numFmt numFmtId="178" formatCode="#,##0.0"/>
    <numFmt numFmtId="179" formatCode="_(&quot;$&quot;* #,##0_);_(&quot;$&quot;* \(#,##0\);_(&quot;$&quot;* &quot;-&quot;??_);_(@_)"/>
    <numFmt numFmtId="180" formatCode="[$-409]mmmm\ d\,\ yyyy;@"/>
    <numFmt numFmtId="181" formatCode="0.000"/>
    <numFmt numFmtId="182" formatCode="&quot;$&quot;#,##0"/>
  </numFmts>
  <fonts count="66" x14ac:knownFonts="1">
    <font>
      <sz val="10"/>
      <name val="Gill Sans MT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8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color indexed="12"/>
      <name val="Gill Sans MT"/>
      <family val="2"/>
    </font>
    <font>
      <b/>
      <sz val="12"/>
      <name val="Gill Sans MT"/>
      <family val="2"/>
    </font>
    <font>
      <u/>
      <sz val="10"/>
      <color indexed="12"/>
      <name val="Gill Sans MT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Gill Sans MT"/>
      <family val="2"/>
    </font>
    <font>
      <sz val="12"/>
      <name val="Courier New"/>
      <family val="3"/>
    </font>
    <font>
      <sz val="10"/>
      <name val="Gill Sans MT"/>
      <family val="2"/>
    </font>
    <font>
      <b/>
      <i/>
      <u/>
      <sz val="10"/>
      <name val="Gill Sans MT"/>
      <family val="2"/>
    </font>
    <font>
      <b/>
      <sz val="10"/>
      <color indexed="10"/>
      <name val="Gill Sans MT"/>
      <family val="2"/>
    </font>
    <font>
      <b/>
      <sz val="14"/>
      <name val="Gill Sans MT"/>
      <family val="2"/>
    </font>
    <font>
      <sz val="10"/>
      <color indexed="10"/>
      <name val="Gill Sans MT"/>
      <family val="2"/>
    </font>
    <font>
      <sz val="10"/>
      <color indexed="12"/>
      <name val="Gill Sans MT"/>
      <family val="2"/>
    </font>
    <font>
      <b/>
      <u/>
      <sz val="10"/>
      <name val="Gill Sans MT"/>
      <family val="2"/>
    </font>
    <font>
      <b/>
      <sz val="10"/>
      <name val="Gill Sans MT"/>
      <family val="2"/>
    </font>
    <font>
      <u/>
      <sz val="12"/>
      <color indexed="12"/>
      <name val="Georgia"/>
      <family val="1"/>
    </font>
    <font>
      <sz val="8"/>
      <name val="Arial"/>
      <family val="2"/>
    </font>
    <font>
      <sz val="8"/>
      <color indexed="10"/>
      <name val="Gill Sans MT"/>
      <family val="2"/>
    </font>
    <font>
      <sz val="8"/>
      <color indexed="10"/>
      <name val="Arial"/>
      <family val="2"/>
    </font>
    <font>
      <sz val="8"/>
      <name val="Arial Narrow"/>
      <family val="2"/>
    </font>
    <font>
      <b/>
      <sz val="8"/>
      <name val="Gill Sans MT"/>
      <family val="2"/>
    </font>
    <font>
      <b/>
      <sz val="8"/>
      <name val="Arial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sz val="18"/>
      <name val="Gill Sans MT"/>
      <family val="2"/>
    </font>
    <font>
      <sz val="10"/>
      <color indexed="8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i/>
      <sz val="20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14"/>
      <color indexed="11"/>
      <name val="Wingdings"/>
      <charset val="2"/>
    </font>
    <font>
      <b/>
      <sz val="14"/>
      <color indexed="10"/>
      <name val="Wingdings"/>
      <charset val="2"/>
    </font>
    <font>
      <b/>
      <sz val="18"/>
      <color indexed="48"/>
      <name val="Wingdings"/>
      <charset val="2"/>
    </font>
    <font>
      <b/>
      <sz val="14"/>
      <color indexed="9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2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16"/>
        <bgColor indexed="9"/>
      </patternFill>
    </fill>
    <fill>
      <patternFill patternType="solid">
        <fgColor indexed="16"/>
        <bgColor indexed="24"/>
      </patternFill>
    </fill>
    <fill>
      <patternFill patternType="darkGray">
        <fgColor indexed="21"/>
        <bgColor indexed="17"/>
      </patternFill>
    </fill>
    <fill>
      <patternFill patternType="solid">
        <fgColor indexed="20"/>
        <bgColor indexed="24"/>
      </patternFill>
    </fill>
    <fill>
      <patternFill patternType="solid">
        <fgColor indexed="60"/>
        <bgColor indexed="2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2"/>
      </left>
      <right style="thin">
        <color indexed="22"/>
      </right>
      <top style="thick">
        <color indexed="12"/>
      </top>
      <bottom style="thin">
        <color indexed="22"/>
      </bottom>
      <diagonal/>
    </border>
    <border>
      <left style="thin">
        <color indexed="22"/>
      </left>
      <right style="thick">
        <color indexed="12"/>
      </right>
      <top style="thick">
        <color indexed="12"/>
      </top>
      <bottom style="thin">
        <color indexed="22"/>
      </bottom>
      <diagonal/>
    </border>
    <border>
      <left style="thick">
        <color indexed="1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12"/>
      </right>
      <top style="thin">
        <color indexed="22"/>
      </top>
      <bottom style="thin">
        <color indexed="22"/>
      </bottom>
      <diagonal/>
    </border>
    <border>
      <left style="thick">
        <color indexed="12"/>
      </left>
      <right style="thin">
        <color indexed="22"/>
      </right>
      <top style="thin">
        <color indexed="22"/>
      </top>
      <bottom style="thick">
        <color indexed="12"/>
      </bottom>
      <diagonal/>
    </border>
    <border>
      <left style="thin">
        <color indexed="22"/>
      </left>
      <right style="thick">
        <color indexed="12"/>
      </right>
      <top style="thin">
        <color indexed="22"/>
      </top>
      <bottom style="thick">
        <color indexed="1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7" fillId="0" borderId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44" fontId="2" fillId="0" borderId="0" applyFont="0" applyFill="0" applyBorder="0" applyAlignment="0" applyProtection="0"/>
    <xf numFmtId="0" fontId="64" fillId="0" borderId="0"/>
    <xf numFmtId="9" fontId="2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2" borderId="0" xfId="0" applyFill="1"/>
    <xf numFmtId="0" fontId="6" fillId="0" borderId="0" xfId="0" applyFont="1"/>
    <xf numFmtId="0" fontId="8" fillId="0" borderId="0" xfId="0" applyFont="1"/>
    <xf numFmtId="43" fontId="0" fillId="0" borderId="0" xfId="1" applyFont="1"/>
    <xf numFmtId="0" fontId="9" fillId="0" borderId="0" xfId="0" applyFont="1"/>
    <xf numFmtId="43" fontId="0" fillId="3" borderId="0" xfId="1" applyFont="1" applyFill="1"/>
    <xf numFmtId="0" fontId="6" fillId="3" borderId="0" xfId="0" applyFont="1" applyFill="1"/>
    <xf numFmtId="0" fontId="6" fillId="0" borderId="0" xfId="0" applyFont="1" applyFill="1"/>
    <xf numFmtId="43" fontId="4" fillId="0" borderId="0" xfId="1" applyFill="1"/>
    <xf numFmtId="0" fontId="10" fillId="0" borderId="0" xfId="0" applyFont="1" applyFill="1"/>
    <xf numFmtId="43" fontId="10" fillId="0" borderId="0" xfId="1" applyFont="1" applyFill="1"/>
    <xf numFmtId="0" fontId="0" fillId="0" borderId="0" xfId="0" quotePrefix="1"/>
    <xf numFmtId="10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0" applyFont="1"/>
    <xf numFmtId="0" fontId="6" fillId="0" borderId="0" xfId="3" applyFont="1"/>
    <xf numFmtId="0" fontId="7" fillId="0" borderId="0" xfId="3" applyFont="1"/>
    <xf numFmtId="0" fontId="7" fillId="0" borderId="0" xfId="3" quotePrefix="1" applyFont="1"/>
    <xf numFmtId="0" fontId="8" fillId="0" borderId="0" xfId="3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1" fillId="0" borderId="0" xfId="0" quotePrefix="1" applyFont="1" applyAlignment="1">
      <alignment vertical="top"/>
    </xf>
    <xf numFmtId="0" fontId="9" fillId="0" borderId="0" xfId="0" quotePrefix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6" fillId="4" borderId="0" xfId="0" applyFont="1" applyFill="1" applyAlignment="1">
      <alignment vertical="top"/>
    </xf>
    <xf numFmtId="0" fontId="9" fillId="4" borderId="0" xfId="0" quotePrefix="1" applyFont="1" applyFill="1" applyAlignment="1">
      <alignment horizontal="left" vertical="top"/>
    </xf>
    <xf numFmtId="0" fontId="9" fillId="4" borderId="0" xfId="0" applyFont="1" applyFill="1" applyAlignment="1">
      <alignment vertical="top"/>
    </xf>
    <xf numFmtId="0" fontId="18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9" fillId="0" borderId="1" xfId="0" applyFont="1" applyBorder="1"/>
    <xf numFmtId="0" fontId="0" fillId="0" borderId="1" xfId="0" applyBorder="1"/>
    <xf numFmtId="0" fontId="6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quotePrefix="1" applyBorder="1"/>
    <xf numFmtId="0" fontId="4" fillId="0" borderId="0" xfId="0" applyFont="1"/>
    <xf numFmtId="0" fontId="20" fillId="0" borderId="0" xfId="0" applyFont="1"/>
    <xf numFmtId="0" fontId="19" fillId="0" borderId="0" xfId="0" applyFont="1" applyBorder="1"/>
    <xf numFmtId="0" fontId="0" fillId="0" borderId="0" xfId="0" quotePrefix="1" applyBorder="1"/>
    <xf numFmtId="0" fontId="6" fillId="0" borderId="1" xfId="3" applyFont="1" applyBorder="1"/>
    <xf numFmtId="0" fontId="7" fillId="0" borderId="1" xfId="3" applyFont="1" applyBorder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3" fillId="0" borderId="0" xfId="0" applyFont="1"/>
    <xf numFmtId="166" fontId="0" fillId="0" borderId="0" xfId="1" applyNumberFormat="1" applyFont="1"/>
    <xf numFmtId="0" fontId="24" fillId="5" borderId="0" xfId="0" applyFont="1" applyFill="1" applyBorder="1" applyAlignment="1">
      <alignment horizontal="left" wrapText="1"/>
    </xf>
    <xf numFmtId="0" fontId="24" fillId="5" borderId="10" xfId="0" applyFont="1" applyFill="1" applyBorder="1" applyAlignment="1">
      <alignment horizontal="left" wrapText="1"/>
    </xf>
    <xf numFmtId="0" fontId="0" fillId="6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9" fillId="0" borderId="0" xfId="0" quotePrefix="1" applyFont="1"/>
    <xf numFmtId="0" fontId="26" fillId="0" borderId="0" xfId="0" quotePrefix="1" applyFont="1"/>
    <xf numFmtId="0" fontId="4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horizontal="center"/>
    </xf>
    <xf numFmtId="0" fontId="24" fillId="0" borderId="0" xfId="0" applyFont="1"/>
    <xf numFmtId="0" fontId="32" fillId="0" borderId="0" xfId="0" applyFont="1"/>
    <xf numFmtId="168" fontId="26" fillId="0" borderId="0" xfId="0" applyNumberFormat="1" applyFont="1" applyAlignment="1">
      <alignment horizontal="right"/>
    </xf>
    <xf numFmtId="43" fontId="9" fillId="0" borderId="0" xfId="1" applyNumberFormat="1" applyFont="1"/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0" applyNumberFormat="1"/>
    <xf numFmtId="0" fontId="6" fillId="5" borderId="0" xfId="0" applyFont="1" applyFill="1"/>
    <xf numFmtId="0" fontId="0" fillId="5" borderId="0" xfId="0" applyFill="1"/>
    <xf numFmtId="0" fontId="33" fillId="0" borderId="0" xfId="0" applyFont="1"/>
    <xf numFmtId="0" fontId="6" fillId="0" borderId="0" xfId="0" applyFont="1" applyBorder="1"/>
    <xf numFmtId="0" fontId="11" fillId="2" borderId="0" xfId="0" applyFont="1" applyFill="1" applyAlignment="1"/>
    <xf numFmtId="0" fontId="0" fillId="0" borderId="0" xfId="0" applyAlignment="1">
      <alignment vertical="top" wrapText="1"/>
    </xf>
    <xf numFmtId="0" fontId="9" fillId="2" borderId="0" xfId="0" applyFont="1" applyFill="1"/>
    <xf numFmtId="0" fontId="0" fillId="0" borderId="0" xfId="0" applyFill="1" applyAlignment="1">
      <alignment vertical="top" wrapText="1"/>
    </xf>
    <xf numFmtId="0" fontId="0" fillId="0" borderId="0" xfId="0" applyBorder="1"/>
    <xf numFmtId="0" fontId="34" fillId="0" borderId="0" xfId="0" applyFont="1"/>
    <xf numFmtId="0" fontId="0" fillId="0" borderId="14" xfId="0" applyBorder="1"/>
    <xf numFmtId="0" fontId="12" fillId="0" borderId="14" xfId="2" applyBorder="1" applyAlignment="1" applyProtection="1"/>
    <xf numFmtId="0" fontId="12" fillId="0" borderId="0" xfId="2" applyAlignment="1" applyProtection="1"/>
    <xf numFmtId="14" fontId="0" fillId="0" borderId="1" xfId="0" applyNumberFormat="1" applyBorder="1"/>
    <xf numFmtId="169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/>
    <xf numFmtId="172" fontId="0" fillId="0" borderId="1" xfId="0" applyNumberFormat="1" applyBorder="1"/>
    <xf numFmtId="167" fontId="0" fillId="0" borderId="1" xfId="0" applyNumberFormat="1" applyBorder="1"/>
    <xf numFmtId="173" fontId="0" fillId="0" borderId="1" xfId="0" applyNumberFormat="1" applyBorder="1"/>
    <xf numFmtId="174" fontId="0" fillId="0" borderId="1" xfId="0" applyNumberFormat="1" applyBorder="1"/>
    <xf numFmtId="175" fontId="0" fillId="0" borderId="1" xfId="0" applyNumberFormat="1" applyBorder="1"/>
    <xf numFmtId="176" fontId="0" fillId="0" borderId="1" xfId="0" applyNumberFormat="1" applyBorder="1"/>
    <xf numFmtId="22" fontId="0" fillId="0" borderId="0" xfId="0" applyNumberFormat="1"/>
    <xf numFmtId="14" fontId="0" fillId="0" borderId="0" xfId="0" applyNumberFormat="1"/>
    <xf numFmtId="0" fontId="6" fillId="0" borderId="0" xfId="0" quotePrefix="1" applyFont="1"/>
    <xf numFmtId="0" fontId="0" fillId="0" borderId="0" xfId="0" applyNumberFormat="1"/>
    <xf numFmtId="0" fontId="0" fillId="0" borderId="13" xfId="0" applyBorder="1"/>
    <xf numFmtId="0" fontId="24" fillId="5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4" fillId="0" borderId="0" xfId="0" applyFont="1" applyAlignment="1">
      <alignment horizontal="left"/>
    </xf>
    <xf numFmtId="43" fontId="4" fillId="0" borderId="0" xfId="1" applyNumberFormat="1"/>
    <xf numFmtId="0" fontId="7" fillId="0" borderId="0" xfId="0" applyFont="1" applyFill="1"/>
    <xf numFmtId="0" fontId="25" fillId="0" borderId="0" xfId="2" applyFont="1" applyAlignment="1" applyProtection="1"/>
    <xf numFmtId="0" fontId="4" fillId="0" borderId="0" xfId="0" quotePrefix="1" applyFont="1"/>
    <xf numFmtId="0" fontId="28" fillId="0" borderId="0" xfId="0" applyFont="1" applyAlignment="1">
      <alignment horizontal="left"/>
    </xf>
    <xf numFmtId="0" fontId="0" fillId="6" borderId="0" xfId="0" applyFill="1" applyAlignment="1">
      <alignment wrapText="1"/>
    </xf>
    <xf numFmtId="0" fontId="35" fillId="0" borderId="0" xfId="0" applyFo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5" borderId="0" xfId="0" applyFont="1" applyFill="1"/>
    <xf numFmtId="0" fontId="7" fillId="0" borderId="0" xfId="0" applyFont="1" applyAlignment="1">
      <alignment vertical="top"/>
    </xf>
    <xf numFmtId="0" fontId="8" fillId="7" borderId="0" xfId="0" applyFont="1" applyFill="1"/>
    <xf numFmtId="0" fontId="0" fillId="7" borderId="0" xfId="0" applyFill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37" fillId="0" borderId="0" xfId="4"/>
    <xf numFmtId="0" fontId="38" fillId="0" borderId="0" xfId="4" applyFont="1"/>
    <xf numFmtId="0" fontId="38" fillId="9" borderId="13" xfId="4" applyFont="1" applyFill="1" applyBorder="1"/>
    <xf numFmtId="0" fontId="39" fillId="10" borderId="25" xfId="4" applyFont="1" applyFill="1" applyBorder="1"/>
    <xf numFmtId="0" fontId="39" fillId="10" borderId="26" xfId="4" applyFont="1" applyFill="1" applyBorder="1"/>
    <xf numFmtId="0" fontId="40" fillId="10" borderId="27" xfId="4" applyFont="1" applyFill="1" applyBorder="1"/>
    <xf numFmtId="0" fontId="41" fillId="9" borderId="28" xfId="4" applyFont="1" applyFill="1" applyBorder="1"/>
    <xf numFmtId="0" fontId="41" fillId="0" borderId="29" xfId="4" applyFont="1" applyBorder="1"/>
    <xf numFmtId="0" fontId="41" fillId="11" borderId="29" xfId="4" applyFont="1" applyFill="1" applyBorder="1" applyAlignment="1">
      <alignment horizontal="center"/>
    </xf>
    <xf numFmtId="0" fontId="38" fillId="12" borderId="28" xfId="4" applyFont="1" applyFill="1" applyBorder="1" applyAlignment="1">
      <alignment horizontal="center"/>
    </xf>
    <xf numFmtId="0" fontId="41" fillId="9" borderId="13" xfId="4" applyFont="1" applyFill="1" applyBorder="1"/>
    <xf numFmtId="0" fontId="41" fillId="0" borderId="0" xfId="4" applyFont="1"/>
    <xf numFmtId="0" fontId="41" fillId="11" borderId="0" xfId="4" applyFont="1" applyFill="1" applyAlignment="1">
      <alignment horizontal="center"/>
    </xf>
    <xf numFmtId="0" fontId="38" fillId="12" borderId="13" xfId="4" applyFont="1" applyFill="1" applyBorder="1" applyAlignment="1">
      <alignment horizontal="center"/>
    </xf>
    <xf numFmtId="0" fontId="38" fillId="11" borderId="0" xfId="4" applyFont="1" applyFill="1" applyAlignment="1">
      <alignment horizontal="center"/>
    </xf>
    <xf numFmtId="0" fontId="41" fillId="11" borderId="13" xfId="4" quotePrefix="1" applyFont="1" applyFill="1" applyBorder="1" applyAlignment="1">
      <alignment horizontal="center"/>
    </xf>
    <xf numFmtId="0" fontId="38" fillId="0" borderId="29" xfId="4" applyFont="1" applyBorder="1"/>
    <xf numFmtId="0" fontId="38" fillId="12" borderId="29" xfId="4" applyFont="1" applyFill="1" applyBorder="1" applyAlignment="1">
      <alignment horizontal="center"/>
    </xf>
    <xf numFmtId="0" fontId="38" fillId="9" borderId="13" xfId="4" applyFont="1" applyFill="1" applyBorder="1" applyAlignment="1">
      <alignment horizontal="center"/>
    </xf>
    <xf numFmtId="0" fontId="38" fillId="13" borderId="13" xfId="4" applyFont="1" applyFill="1" applyBorder="1" applyAlignment="1">
      <alignment horizontal="center"/>
    </xf>
    <xf numFmtId="0" fontId="13" fillId="14" borderId="30" xfId="4" applyFont="1" applyFill="1" applyBorder="1"/>
    <xf numFmtId="0" fontId="13" fillId="11" borderId="28" xfId="4" applyFont="1" applyFill="1" applyBorder="1" applyAlignment="1">
      <alignment wrapText="1"/>
    </xf>
    <xf numFmtId="3" fontId="42" fillId="13" borderId="28" xfId="4" applyNumberFormat="1" applyFont="1" applyFill="1" applyBorder="1"/>
    <xf numFmtId="0" fontId="13" fillId="15" borderId="31" xfId="4" applyFont="1" applyFill="1" applyBorder="1"/>
    <xf numFmtId="0" fontId="13" fillId="14" borderId="32" xfId="4" applyFont="1" applyFill="1" applyBorder="1"/>
    <xf numFmtId="0" fontId="13" fillId="11" borderId="13" xfId="4" applyFont="1" applyFill="1" applyBorder="1" applyAlignment="1">
      <alignment wrapText="1"/>
    </xf>
    <xf numFmtId="0" fontId="13" fillId="8" borderId="13" xfId="4" applyFont="1" applyFill="1" applyBorder="1"/>
    <xf numFmtId="0" fontId="13" fillId="15" borderId="33" xfId="4" applyFont="1" applyFill="1" applyBorder="1"/>
    <xf numFmtId="10" fontId="13" fillId="14" borderId="32" xfId="7" applyNumberFormat="1" applyFont="1" applyFill="1" applyBorder="1" applyAlignment="1">
      <alignment horizontal="center"/>
    </xf>
    <xf numFmtId="177" fontId="13" fillId="11" borderId="13" xfId="7" quotePrefix="1" applyNumberFormat="1" applyFont="1" applyFill="1" applyBorder="1" applyAlignment="1">
      <alignment horizontal="left" wrapText="1"/>
    </xf>
    <xf numFmtId="9" fontId="42" fillId="13" borderId="13" xfId="7" applyFont="1" applyFill="1" applyBorder="1"/>
    <xf numFmtId="4" fontId="13" fillId="14" borderId="32" xfId="4" applyNumberFormat="1" applyFont="1" applyFill="1" applyBorder="1" applyAlignment="1">
      <alignment horizontal="center"/>
    </xf>
    <xf numFmtId="0" fontId="13" fillId="11" borderId="13" xfId="4" quotePrefix="1" applyFont="1" applyFill="1" applyBorder="1" applyAlignment="1">
      <alignment wrapText="1"/>
    </xf>
    <xf numFmtId="0" fontId="13" fillId="14" borderId="32" xfId="4" applyFont="1" applyFill="1" applyBorder="1" applyAlignment="1">
      <alignment horizontal="center"/>
    </xf>
    <xf numFmtId="178" fontId="13" fillId="14" borderId="32" xfId="4" applyNumberFormat="1" applyFont="1" applyFill="1" applyBorder="1"/>
    <xf numFmtId="0" fontId="13" fillId="13" borderId="13" xfId="4" applyFont="1" applyFill="1" applyBorder="1"/>
    <xf numFmtId="3" fontId="13" fillId="14" borderId="32" xfId="4" applyNumberFormat="1" applyFont="1" applyFill="1" applyBorder="1" applyAlignment="1">
      <alignment horizontal="center" wrapText="1"/>
    </xf>
    <xf numFmtId="3" fontId="13" fillId="14" borderId="32" xfId="4" applyNumberFormat="1" applyFont="1" applyFill="1" applyBorder="1" applyAlignment="1">
      <alignment horizontal="center"/>
    </xf>
    <xf numFmtId="178" fontId="13" fillId="14" borderId="32" xfId="4" applyNumberFormat="1" applyFont="1" applyFill="1" applyBorder="1" applyAlignment="1">
      <alignment horizontal="center"/>
    </xf>
    <xf numFmtId="0" fontId="13" fillId="13" borderId="13" xfId="4" applyFont="1" applyFill="1" applyBorder="1" applyAlignment="1">
      <alignment horizontal="left" indent="1"/>
    </xf>
    <xf numFmtId="0" fontId="13" fillId="14" borderId="34" xfId="4" applyFont="1" applyFill="1" applyBorder="1" applyAlignment="1">
      <alignment horizontal="center"/>
    </xf>
    <xf numFmtId="0" fontId="13" fillId="11" borderId="35" xfId="4" quotePrefix="1" applyFont="1" applyFill="1" applyBorder="1" applyAlignment="1">
      <alignment wrapText="1"/>
    </xf>
    <xf numFmtId="0" fontId="13" fillId="8" borderId="35" xfId="4" applyFont="1" applyFill="1" applyBorder="1"/>
    <xf numFmtId="0" fontId="13" fillId="15" borderId="36" xfId="4" applyFont="1" applyFill="1" applyBorder="1"/>
    <xf numFmtId="0" fontId="13" fillId="14" borderId="30" xfId="4" applyFont="1" applyFill="1" applyBorder="1" applyAlignment="1">
      <alignment horizontal="center"/>
    </xf>
    <xf numFmtId="0" fontId="13" fillId="13" borderId="28" xfId="4" applyFont="1" applyFill="1" applyBorder="1"/>
    <xf numFmtId="0" fontId="43" fillId="16" borderId="31" xfId="4" applyFont="1" applyFill="1" applyBorder="1"/>
    <xf numFmtId="0" fontId="43" fillId="16" borderId="33" xfId="4" applyFont="1" applyFill="1" applyBorder="1"/>
    <xf numFmtId="0" fontId="13" fillId="11" borderId="13" xfId="4" quotePrefix="1" applyFont="1" applyFill="1" applyBorder="1" applyAlignment="1">
      <alignment horizontal="center" wrapText="1"/>
    </xf>
    <xf numFmtId="3" fontId="13" fillId="14" borderId="32" xfId="5" applyNumberFormat="1" applyFont="1" applyFill="1" applyBorder="1" applyAlignment="1">
      <alignment horizontal="center"/>
    </xf>
    <xf numFmtId="3" fontId="13" fillId="14" borderId="34" xfId="5" applyNumberFormat="1" applyFont="1" applyFill="1" applyBorder="1" applyAlignment="1">
      <alignment horizontal="center"/>
    </xf>
    <xf numFmtId="0" fontId="43" fillId="16" borderId="36" xfId="4" applyFont="1" applyFill="1" applyBorder="1"/>
    <xf numFmtId="0" fontId="13" fillId="13" borderId="28" xfId="4" applyFont="1" applyFill="1" applyBorder="1" applyAlignment="1">
      <alignment horizontal="center"/>
    </xf>
    <xf numFmtId="0" fontId="37" fillId="17" borderId="31" xfId="4" applyFill="1" applyBorder="1"/>
    <xf numFmtId="0" fontId="37" fillId="17" borderId="33" xfId="4" applyFill="1" applyBorder="1"/>
    <xf numFmtId="0" fontId="13" fillId="14" borderId="37" xfId="4" applyFont="1" applyFill="1" applyBorder="1"/>
    <xf numFmtId="0" fontId="13" fillId="14" borderId="37" xfId="4" applyFont="1" applyFill="1" applyBorder="1" applyAlignment="1">
      <alignment horizontal="center"/>
    </xf>
    <xf numFmtId="0" fontId="44" fillId="0" borderId="0" xfId="4" applyFont="1"/>
    <xf numFmtId="9" fontId="13" fillId="14" borderId="32" xfId="7" applyFont="1" applyFill="1" applyBorder="1" applyAlignment="1">
      <alignment horizontal="center"/>
    </xf>
    <xf numFmtId="44" fontId="13" fillId="13" borderId="13" xfId="6" applyFont="1" applyFill="1" applyBorder="1"/>
    <xf numFmtId="0" fontId="13" fillId="14" borderId="34" xfId="4" applyFont="1" applyFill="1" applyBorder="1"/>
    <xf numFmtId="0" fontId="13" fillId="11" borderId="35" xfId="4" applyFont="1" applyFill="1" applyBorder="1" applyAlignment="1">
      <alignment wrapText="1"/>
    </xf>
    <xf numFmtId="0" fontId="13" fillId="17" borderId="36" xfId="4" applyFont="1" applyFill="1" applyBorder="1"/>
    <xf numFmtId="0" fontId="37" fillId="15" borderId="13" xfId="4" applyFill="1" applyBorder="1" applyAlignment="1">
      <alignment horizontal="center"/>
    </xf>
    <xf numFmtId="3" fontId="37" fillId="15" borderId="13" xfId="4" applyNumberFormat="1" applyFill="1" applyBorder="1" applyAlignment="1">
      <alignment horizontal="center"/>
    </xf>
    <xf numFmtId="0" fontId="44" fillId="15" borderId="13" xfId="4" applyFont="1" applyFill="1" applyBorder="1" applyAlignment="1">
      <alignment horizontal="center"/>
    </xf>
    <xf numFmtId="0" fontId="13" fillId="6" borderId="33" xfId="4" applyFont="1" applyFill="1" applyBorder="1"/>
    <xf numFmtId="0" fontId="37" fillId="12" borderId="13" xfId="4" applyFont="1" applyFill="1" applyBorder="1" applyAlignment="1">
      <alignment horizontal="center"/>
    </xf>
    <xf numFmtId="0" fontId="37" fillId="12" borderId="13" xfId="4" applyFill="1" applyBorder="1" applyAlignment="1">
      <alignment horizontal="center"/>
    </xf>
    <xf numFmtId="0" fontId="13" fillId="14" borderId="38" xfId="4" applyFont="1" applyFill="1" applyBorder="1"/>
    <xf numFmtId="0" fontId="13" fillId="10" borderId="39" xfId="4" quotePrefix="1" applyFont="1" applyFill="1" applyBorder="1" applyAlignment="1">
      <alignment wrapText="1"/>
    </xf>
    <xf numFmtId="0" fontId="13" fillId="10" borderId="39" xfId="4" applyFont="1" applyFill="1" applyBorder="1"/>
    <xf numFmtId="9" fontId="0" fillId="10" borderId="13" xfId="7" applyFont="1" applyFill="1" applyBorder="1"/>
    <xf numFmtId="179" fontId="13" fillId="10" borderId="40" xfId="6" applyNumberFormat="1" applyFont="1" applyFill="1" applyBorder="1"/>
    <xf numFmtId="0" fontId="37" fillId="10" borderId="0" xfId="4" applyFill="1"/>
    <xf numFmtId="0" fontId="13" fillId="14" borderId="30" xfId="4" applyFont="1" applyFill="1" applyBorder="1" applyAlignment="1">
      <alignment horizontal="center" vertical="center"/>
    </xf>
    <xf numFmtId="0" fontId="13" fillId="11" borderId="28" xfId="4" quotePrefix="1" applyFont="1" applyFill="1" applyBorder="1" applyAlignment="1">
      <alignment wrapText="1"/>
    </xf>
    <xf numFmtId="0" fontId="13" fillId="8" borderId="28" xfId="4" applyFont="1" applyFill="1" applyBorder="1" applyAlignment="1">
      <alignment vertical="center"/>
    </xf>
    <xf numFmtId="0" fontId="13" fillId="18" borderId="31" xfId="4" applyFont="1" applyFill="1" applyBorder="1"/>
    <xf numFmtId="0" fontId="13" fillId="8" borderId="28" xfId="4" applyFont="1" applyFill="1" applyBorder="1"/>
    <xf numFmtId="0" fontId="13" fillId="18" borderId="33" xfId="4" applyFont="1" applyFill="1" applyBorder="1"/>
    <xf numFmtId="9" fontId="13" fillId="13" borderId="13" xfId="7" applyFont="1" applyFill="1" applyBorder="1"/>
    <xf numFmtId="0" fontId="37" fillId="8" borderId="0" xfId="4" applyFill="1"/>
    <xf numFmtId="14" fontId="13" fillId="13" borderId="13" xfId="4" applyNumberFormat="1" applyFont="1" applyFill="1" applyBorder="1"/>
    <xf numFmtId="0" fontId="13" fillId="14" borderId="41" xfId="4" applyFont="1" applyFill="1" applyBorder="1"/>
    <xf numFmtId="0" fontId="13" fillId="11" borderId="42" xfId="4" quotePrefix="1" applyFont="1" applyFill="1" applyBorder="1" applyAlignment="1">
      <alignment wrapText="1"/>
    </xf>
    <xf numFmtId="0" fontId="13" fillId="8" borderId="42" xfId="4" applyFont="1" applyFill="1" applyBorder="1"/>
    <xf numFmtId="0" fontId="13" fillId="18" borderId="36" xfId="4" applyFont="1" applyFill="1" applyBorder="1"/>
    <xf numFmtId="14" fontId="37" fillId="0" borderId="0" xfId="4" applyNumberFormat="1"/>
    <xf numFmtId="0" fontId="13" fillId="14" borderId="43" xfId="4" applyFont="1" applyFill="1" applyBorder="1"/>
    <xf numFmtId="14" fontId="37" fillId="13" borderId="29" xfId="4" applyNumberFormat="1" applyFill="1" applyBorder="1" applyAlignment="1">
      <alignment horizontal="center"/>
    </xf>
    <xf numFmtId="0" fontId="13" fillId="13" borderId="31" xfId="4" applyFont="1" applyFill="1" applyBorder="1"/>
    <xf numFmtId="0" fontId="13" fillId="12" borderId="33" xfId="4" applyFont="1" applyFill="1" applyBorder="1"/>
    <xf numFmtId="14" fontId="37" fillId="13" borderId="0" xfId="4" applyNumberFormat="1" applyFill="1" applyBorder="1" applyAlignment="1">
      <alignment horizontal="center"/>
    </xf>
    <xf numFmtId="14" fontId="37" fillId="13" borderId="33" xfId="4" applyNumberFormat="1" applyFill="1" applyBorder="1" applyAlignment="1">
      <alignment horizontal="center"/>
    </xf>
    <xf numFmtId="0" fontId="13" fillId="14" borderId="44" xfId="4" applyFont="1" applyFill="1" applyBorder="1"/>
    <xf numFmtId="0" fontId="13" fillId="6" borderId="45" xfId="4" applyFont="1" applyFill="1" applyBorder="1" applyAlignment="1">
      <alignment wrapText="1"/>
    </xf>
    <xf numFmtId="0" fontId="37" fillId="6" borderId="36" xfId="4" applyFill="1" applyBorder="1" applyAlignment="1">
      <alignment horizontal="center"/>
    </xf>
    <xf numFmtId="171" fontId="13" fillId="13" borderId="28" xfId="4" quotePrefix="1" applyNumberFormat="1" applyFont="1" applyFill="1" applyBorder="1" applyAlignment="1">
      <alignment horizontal="center"/>
    </xf>
    <xf numFmtId="0" fontId="13" fillId="12" borderId="31" xfId="4" applyFont="1" applyFill="1" applyBorder="1"/>
    <xf numFmtId="180" fontId="13" fillId="14" borderId="32" xfId="4" applyNumberFormat="1" applyFont="1" applyFill="1" applyBorder="1" applyAlignment="1">
      <alignment horizontal="center"/>
    </xf>
    <xf numFmtId="0" fontId="13" fillId="13" borderId="0" xfId="4" applyFont="1" applyFill="1" applyAlignment="1">
      <alignment horizontal="center"/>
    </xf>
    <xf numFmtId="43" fontId="0" fillId="0" borderId="0" xfId="5" applyFont="1"/>
    <xf numFmtId="0" fontId="13" fillId="8" borderId="13" xfId="4" quotePrefix="1" applyFont="1" applyFill="1" applyBorder="1"/>
    <xf numFmtId="180" fontId="13" fillId="13" borderId="13" xfId="4" applyNumberFormat="1" applyFont="1" applyFill="1" applyBorder="1" applyAlignment="1">
      <alignment horizontal="center"/>
    </xf>
    <xf numFmtId="180" fontId="13" fillId="8" borderId="13" xfId="4" applyNumberFormat="1" applyFont="1" applyFill="1" applyBorder="1" applyAlignment="1">
      <alignment horizontal="center"/>
    </xf>
    <xf numFmtId="181" fontId="13" fillId="14" borderId="32" xfId="4" applyNumberFormat="1" applyFont="1" applyFill="1" applyBorder="1" applyAlignment="1">
      <alignment horizontal="center"/>
    </xf>
    <xf numFmtId="14" fontId="13" fillId="14" borderId="32" xfId="4" applyNumberFormat="1" applyFont="1" applyFill="1" applyBorder="1" applyAlignment="1">
      <alignment horizontal="center"/>
    </xf>
    <xf numFmtId="14" fontId="13" fillId="14" borderId="32" xfId="4" quotePrefix="1" applyNumberFormat="1" applyFont="1" applyFill="1" applyBorder="1" applyAlignment="1">
      <alignment horizontal="center"/>
    </xf>
    <xf numFmtId="180" fontId="13" fillId="13" borderId="35" xfId="4" applyNumberFormat="1" applyFont="1" applyFill="1" applyBorder="1" applyAlignment="1">
      <alignment horizontal="center"/>
    </xf>
    <xf numFmtId="0" fontId="13" fillId="12" borderId="36" xfId="4" applyFont="1" applyFill="1" applyBorder="1"/>
    <xf numFmtId="0" fontId="13" fillId="14" borderId="30" xfId="4" applyFont="1" applyFill="1" applyBorder="1" applyAlignment="1">
      <alignment wrapText="1"/>
    </xf>
    <xf numFmtId="0" fontId="13" fillId="10" borderId="31" xfId="4" applyFont="1" applyFill="1" applyBorder="1"/>
    <xf numFmtId="0" fontId="13" fillId="14" borderId="32" xfId="4" applyFont="1" applyFill="1" applyBorder="1" applyAlignment="1">
      <alignment wrapText="1"/>
    </xf>
    <xf numFmtId="0" fontId="13" fillId="10" borderId="33" xfId="4" applyFont="1" applyFill="1" applyBorder="1"/>
    <xf numFmtId="0" fontId="13" fillId="14" borderId="32" xfId="4" applyFont="1" applyFill="1" applyBorder="1" applyAlignment="1">
      <alignment horizontal="center" wrapText="1"/>
    </xf>
    <xf numFmtId="0" fontId="13" fillId="14" borderId="34" xfId="4" applyFont="1" applyFill="1" applyBorder="1" applyAlignment="1">
      <alignment wrapText="1"/>
    </xf>
    <xf numFmtId="0" fontId="13" fillId="13" borderId="35" xfId="4" applyFont="1" applyFill="1" applyBorder="1"/>
    <xf numFmtId="0" fontId="13" fillId="10" borderId="36" xfId="4" applyFont="1" applyFill="1" applyBorder="1"/>
    <xf numFmtId="0" fontId="45" fillId="14" borderId="13" xfId="4" applyFont="1" applyFill="1" applyBorder="1" applyAlignment="1">
      <alignment horizontal="center" vertical="center"/>
    </xf>
    <xf numFmtId="0" fontId="45" fillId="11" borderId="13" xfId="4" applyFont="1" applyFill="1" applyBorder="1" applyAlignment="1">
      <alignment horizontal="center" vertical="center" wrapText="1"/>
    </xf>
    <xf numFmtId="0" fontId="46" fillId="8" borderId="13" xfId="4" applyFont="1" applyFill="1" applyBorder="1" applyAlignment="1">
      <alignment horizontal="center" vertical="center" wrapText="1"/>
    </xf>
    <xf numFmtId="0" fontId="13" fillId="0" borderId="0" xfId="4" applyFont="1"/>
    <xf numFmtId="0" fontId="13" fillId="0" borderId="0" xfId="4" applyFont="1" applyAlignment="1">
      <alignment wrapText="1"/>
    </xf>
    <xf numFmtId="0" fontId="3" fillId="0" borderId="0" xfId="8"/>
    <xf numFmtId="0" fontId="48" fillId="19" borderId="0" xfId="8" applyFont="1" applyFill="1"/>
    <xf numFmtId="0" fontId="48" fillId="0" borderId="0" xfId="8" applyFont="1"/>
    <xf numFmtId="0" fontId="49" fillId="20" borderId="0" xfId="8" applyFont="1" applyFill="1"/>
    <xf numFmtId="0" fontId="3" fillId="0" borderId="0" xfId="8" applyAlignment="1">
      <alignment horizontal="center" vertical="center"/>
    </xf>
    <xf numFmtId="14" fontId="3" fillId="0" borderId="0" xfId="8" applyNumberFormat="1"/>
    <xf numFmtId="0" fontId="36" fillId="21" borderId="0" xfId="8" applyFont="1" applyFill="1" applyAlignment="1">
      <alignment horizontal="center"/>
    </xf>
    <xf numFmtId="0" fontId="36" fillId="21" borderId="0" xfId="8" applyFont="1" applyFill="1" applyAlignment="1">
      <alignment horizontal="center" vertical="center"/>
    </xf>
    <xf numFmtId="0" fontId="50" fillId="22" borderId="46" xfId="4" applyFont="1" applyFill="1" applyBorder="1" applyAlignment="1"/>
    <xf numFmtId="14" fontId="50" fillId="22" borderId="46" xfId="4" applyNumberFormat="1" applyFont="1" applyFill="1" applyBorder="1" applyAlignment="1"/>
    <xf numFmtId="42" fontId="37" fillId="0" borderId="47" xfId="4" applyNumberFormat="1" applyFill="1" applyBorder="1" applyAlignment="1"/>
    <xf numFmtId="0" fontId="51" fillId="23" borderId="47" xfId="4" applyFont="1" applyFill="1" applyBorder="1" applyAlignment="1">
      <alignment horizontal="left"/>
    </xf>
    <xf numFmtId="0" fontId="50" fillId="24" borderId="0" xfId="4" applyFont="1" applyFill="1" applyBorder="1" applyAlignment="1"/>
    <xf numFmtId="14" fontId="50" fillId="24" borderId="0" xfId="4" applyNumberFormat="1" applyFont="1" applyFill="1" applyBorder="1" applyAlignment="1"/>
    <xf numFmtId="42" fontId="37" fillId="0" borderId="0" xfId="4" applyNumberFormat="1" applyFill="1" applyBorder="1" applyAlignment="1"/>
    <xf numFmtId="0" fontId="52" fillId="23" borderId="0" xfId="4" applyFont="1" applyFill="1" applyBorder="1" applyAlignment="1">
      <alignment horizontal="left"/>
    </xf>
    <xf numFmtId="0" fontId="50" fillId="22" borderId="0" xfId="4" applyFont="1" applyFill="1" applyBorder="1" applyAlignment="1"/>
    <xf numFmtId="14" fontId="50" fillId="22" borderId="0" xfId="4" applyNumberFormat="1" applyFont="1" applyFill="1" applyBorder="1" applyAlignment="1"/>
    <xf numFmtId="9" fontId="50" fillId="25" borderId="0" xfId="7" applyFont="1" applyFill="1" applyBorder="1" applyAlignment="1">
      <alignment horizontal="center"/>
    </xf>
    <xf numFmtId="0" fontId="53" fillId="26" borderId="0" xfId="4" applyFont="1" applyFill="1" applyBorder="1" applyAlignment="1"/>
    <xf numFmtId="0" fontId="54" fillId="27" borderId="29" xfId="4" applyFont="1" applyFill="1" applyBorder="1" applyAlignment="1">
      <alignment horizontal="center"/>
    </xf>
    <xf numFmtId="0" fontId="55" fillId="28" borderId="0" xfId="4" applyFont="1" applyFill="1" applyBorder="1" applyAlignment="1">
      <alignment horizontal="center"/>
    </xf>
    <xf numFmtId="0" fontId="56" fillId="29" borderId="48" xfId="4" applyFont="1" applyFill="1" applyBorder="1" applyAlignment="1">
      <alignment horizontal="right"/>
    </xf>
    <xf numFmtId="0" fontId="57" fillId="29" borderId="48" xfId="4" applyFont="1" applyFill="1" applyBorder="1" applyAlignment="1">
      <alignment horizontal="right"/>
    </xf>
    <xf numFmtId="0" fontId="37" fillId="29" borderId="48" xfId="4" applyFill="1" applyBorder="1" applyAlignment="1"/>
    <xf numFmtId="0" fontId="58" fillId="0" borderId="0" xfId="4" applyFont="1" applyAlignment="1">
      <alignment horizontal="left" vertical="center"/>
    </xf>
    <xf numFmtId="0" fontId="59" fillId="0" borderId="0" xfId="4" applyFont="1" applyAlignment="1">
      <alignment vertical="center"/>
    </xf>
    <xf numFmtId="0" fontId="60" fillId="0" borderId="0" xfId="4" applyFont="1" applyAlignment="1">
      <alignment vertical="center"/>
    </xf>
    <xf numFmtId="0" fontId="13" fillId="0" borderId="13" xfId="4" applyFont="1" applyBorder="1" applyAlignment="1">
      <alignment horizontal="center" vertical="center"/>
    </xf>
    <xf numFmtId="0" fontId="13" fillId="0" borderId="0" xfId="4" applyFont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left" indent="1"/>
    </xf>
    <xf numFmtId="0" fontId="14" fillId="0" borderId="0" xfId="9"/>
    <xf numFmtId="0" fontId="2" fillId="0" borderId="0" xfId="10"/>
    <xf numFmtId="0" fontId="2" fillId="6" borderId="0" xfId="10" applyFill="1"/>
    <xf numFmtId="0" fontId="13" fillId="14" borderId="13" xfId="10" applyFont="1" applyFill="1" applyBorder="1" applyAlignment="1">
      <alignment horizontal="left" indent="1"/>
    </xf>
    <xf numFmtId="0" fontId="2" fillId="11" borderId="13" xfId="10" applyFill="1" applyBorder="1" applyAlignment="1">
      <alignment horizontal="left" indent="1"/>
    </xf>
    <xf numFmtId="0" fontId="2" fillId="12" borderId="13" xfId="10" applyFill="1" applyBorder="1"/>
    <xf numFmtId="0" fontId="61" fillId="17" borderId="13" xfId="10" applyFont="1" applyFill="1" applyBorder="1" applyAlignment="1">
      <alignment horizontal="center"/>
    </xf>
    <xf numFmtId="0" fontId="61" fillId="31" borderId="13" xfId="10" applyFont="1" applyFill="1" applyBorder="1" applyAlignment="1">
      <alignment horizontal="center"/>
    </xf>
    <xf numFmtId="0" fontId="61" fillId="16" borderId="13" xfId="10" applyFont="1" applyFill="1" applyBorder="1" applyAlignment="1">
      <alignment horizontal="center"/>
    </xf>
    <xf numFmtId="0" fontId="62" fillId="6" borderId="0" xfId="10" applyFont="1" applyFill="1"/>
    <xf numFmtId="0" fontId="13" fillId="6" borderId="0" xfId="10" applyFont="1" applyFill="1" applyAlignment="1">
      <alignment horizontal="left" indent="10"/>
    </xf>
    <xf numFmtId="0" fontId="63" fillId="6" borderId="0" xfId="10" applyFont="1" applyFill="1"/>
    <xf numFmtId="0" fontId="2" fillId="0" borderId="0" xfId="10" applyAlignment="1">
      <alignment horizontal="center"/>
    </xf>
    <xf numFmtId="0" fontId="2" fillId="0" borderId="0" xfId="10" applyAlignment="1">
      <alignment horizontal="left"/>
    </xf>
    <xf numFmtId="0" fontId="2" fillId="0" borderId="0" xfId="10" applyBorder="1"/>
    <xf numFmtId="0" fontId="2" fillId="0" borderId="0" xfId="10" applyBorder="1" applyAlignment="1">
      <alignment horizontal="center"/>
    </xf>
    <xf numFmtId="0" fontId="2" fillId="0" borderId="0" xfId="10" applyFont="1" applyBorder="1" applyAlignment="1">
      <alignment horizontal="center"/>
    </xf>
    <xf numFmtId="0" fontId="2" fillId="0" borderId="0" xfId="10" applyFont="1" applyBorder="1"/>
    <xf numFmtId="180" fontId="2" fillId="0" borderId="0" xfId="10" applyNumberFormat="1" applyFont="1" applyBorder="1" applyAlignment="1">
      <alignment horizontal="left"/>
    </xf>
    <xf numFmtId="0" fontId="2" fillId="0" borderId="0" xfId="10" applyFont="1" applyBorder="1" applyAlignment="1">
      <alignment horizontal="left"/>
    </xf>
    <xf numFmtId="182" fontId="1" fillId="0" borderId="0" xfId="11" applyNumberFormat="1" applyFont="1" applyBorder="1" applyAlignment="1">
      <alignment horizontal="center"/>
    </xf>
    <xf numFmtId="0" fontId="38" fillId="0" borderId="0" xfId="10" applyFont="1" applyFill="1" applyBorder="1" applyAlignment="1">
      <alignment horizontal="center"/>
    </xf>
    <xf numFmtId="0" fontId="64" fillId="0" borderId="0" xfId="12"/>
    <xf numFmtId="0" fontId="64" fillId="32" borderId="0" xfId="12" applyFill="1"/>
    <xf numFmtId="0" fontId="2" fillId="14" borderId="0" xfId="10" applyFill="1"/>
    <xf numFmtId="0" fontId="2" fillId="14" borderId="0" xfId="10" applyFill="1" applyAlignment="1">
      <alignment horizontal="center"/>
    </xf>
    <xf numFmtId="0" fontId="65" fillId="0" borderId="13" xfId="10" applyFont="1" applyBorder="1" applyAlignment="1">
      <alignment horizontal="center"/>
    </xf>
    <xf numFmtId="177" fontId="65" fillId="0" borderId="13" xfId="13" applyNumberFormat="1" applyFont="1" applyBorder="1" applyAlignment="1">
      <alignment horizontal="center"/>
    </xf>
    <xf numFmtId="44" fontId="65" fillId="0" borderId="13" xfId="11" applyFont="1" applyBorder="1"/>
    <xf numFmtId="0" fontId="65" fillId="0" borderId="13" xfId="10" applyFont="1" applyBorder="1"/>
    <xf numFmtId="0" fontId="65" fillId="11" borderId="13" xfId="10" applyFont="1" applyFill="1" applyBorder="1"/>
    <xf numFmtId="14" fontId="65" fillId="0" borderId="13" xfId="10" applyNumberFormat="1" applyFont="1" applyBorder="1" applyAlignment="1">
      <alignment horizontal="center"/>
    </xf>
    <xf numFmtId="0" fontId="61" fillId="7" borderId="13" xfId="10" applyFont="1" applyFill="1" applyBorder="1"/>
    <xf numFmtId="0" fontId="65" fillId="15" borderId="13" xfId="10" applyFont="1" applyFill="1" applyBorder="1" applyAlignment="1">
      <alignment horizontal="center"/>
    </xf>
    <xf numFmtId="0" fontId="2" fillId="11" borderId="0" xfId="10" applyFill="1"/>
    <xf numFmtId="0" fontId="63" fillId="11" borderId="0" xfId="10" applyFont="1" applyFill="1"/>
    <xf numFmtId="9" fontId="63" fillId="14" borderId="49" xfId="13" applyFont="1" applyFill="1" applyBorder="1" applyAlignment="1">
      <alignment horizontal="center"/>
    </xf>
    <xf numFmtId="0" fontId="63" fillId="14" borderId="49" xfId="10" applyFont="1" applyFill="1" applyBorder="1"/>
    <xf numFmtId="0" fontId="63" fillId="9" borderId="49" xfId="10" applyFont="1" applyFill="1" applyBorder="1" applyAlignment="1">
      <alignment horizontal="left" indent="1"/>
    </xf>
    <xf numFmtId="9" fontId="63" fillId="0" borderId="13" xfId="13" applyFont="1" applyFill="1" applyBorder="1" applyAlignment="1">
      <alignment horizontal="center"/>
    </xf>
    <xf numFmtId="0" fontId="63" fillId="0" borderId="50" xfId="10" applyFont="1" applyFill="1" applyBorder="1"/>
    <xf numFmtId="0" fontId="63" fillId="8" borderId="50" xfId="10" applyFont="1" applyFill="1" applyBorder="1" applyAlignment="1">
      <alignment horizontal="left" indent="2"/>
    </xf>
    <xf numFmtId="0" fontId="63" fillId="0" borderId="13" xfId="10" applyFont="1" applyFill="1" applyBorder="1"/>
    <xf numFmtId="0" fontId="63" fillId="8" borderId="13" xfId="10" applyFont="1" applyFill="1" applyBorder="1" applyAlignment="1">
      <alignment horizontal="left" indent="2"/>
    </xf>
    <xf numFmtId="0" fontId="63" fillId="9" borderId="13" xfId="10" applyFont="1" applyFill="1" applyBorder="1"/>
    <xf numFmtId="182" fontId="63" fillId="14" borderId="49" xfId="11" applyNumberFormat="1" applyFont="1" applyFill="1" applyBorder="1"/>
    <xf numFmtId="182" fontId="63" fillId="0" borderId="50" xfId="11" applyNumberFormat="1" applyFont="1" applyFill="1" applyBorder="1"/>
    <xf numFmtId="182" fontId="63" fillId="0" borderId="13" xfId="11" applyNumberFormat="1" applyFont="1" applyFill="1" applyBorder="1"/>
    <xf numFmtId="0" fontId="63" fillId="9" borderId="13" xfId="10" applyFont="1" applyFill="1" applyBorder="1" applyAlignment="1">
      <alignment horizontal="center"/>
    </xf>
    <xf numFmtId="0" fontId="63" fillId="11" borderId="0" xfId="10" applyFont="1" applyFill="1" applyAlignment="1">
      <alignment horizontal="center"/>
    </xf>
    <xf numFmtId="0" fontId="47" fillId="0" borderId="0" xfId="4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6" borderId="2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4" xfId="0" applyFill="1" applyBorder="1" applyAlignment="1">
      <alignment vertical="top" wrapText="1"/>
    </xf>
    <xf numFmtId="0" fontId="54" fillId="30" borderId="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4">
    <cellStyle name="Comma" xfId="1" builtinId="3"/>
    <cellStyle name="Comma 2" xfId="5"/>
    <cellStyle name="Currency 2" xfId="6"/>
    <cellStyle name="Currency 2 2" xfId="11"/>
    <cellStyle name="Hyperlink" xfId="2" builtinId="8"/>
    <cellStyle name="Normal" xfId="0" builtinId="0"/>
    <cellStyle name="Normal 2" xfId="4"/>
    <cellStyle name="Normal 2 2" xfId="10"/>
    <cellStyle name="Normal 3" xfId="8"/>
    <cellStyle name="Normal 4" xfId="9"/>
    <cellStyle name="Normal 5" xfId="12"/>
    <cellStyle name="Normal_textfunctions" xfId="3"/>
    <cellStyle name="Percent 2" xfId="7"/>
    <cellStyle name="Percent 3" xfId="13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33FF"/>
      <rgbColor rgb="00FF0000"/>
      <rgbColor rgb="0000CC00"/>
      <rgbColor rgb="00FFFF00"/>
      <rgbColor rgb="00FF9900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1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7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hartsheet" Target="chartsheets/sheet1.xml"/><Relationship Id="rId40" Type="http://schemas.openxmlformats.org/officeDocument/2006/relationships/worksheet" Target="worksheets/sheet39.xml"/><Relationship Id="rId45" Type="http://schemas.openxmlformats.org/officeDocument/2006/relationships/worksheet" Target="worksheets/sheet4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MONTHLY EXPENSES</a:t>
            </a:r>
          </a:p>
        </c:rich>
      </c:tx>
      <c:layout>
        <c:manualLayout>
          <c:xMode val="edge"/>
          <c:yMode val="edge"/>
          <c:x val="0.31958803105371997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34047214842777"/>
          <c:y val="0.23346303501945534"/>
          <c:w val="0.4407222041144041"/>
          <c:h val="0.66536964980544744"/>
        </c:manualLayout>
      </c:layout>
      <c:pieChart>
        <c:varyColors val="1"/>
        <c:ser>
          <c:idx val="0"/>
          <c:order val="0"/>
          <c:tx>
            <c:strRef>
              <c:f>DISTORTIONS!$E$7</c:f>
              <c:strCache>
                <c:ptCount val="1"/>
                <c:pt idx="0">
                  <c:v>SHARE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C3-4C4C-A4C9-B66B90323C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C3-4C4C-A4C9-B66B90323C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C3-4C4C-A4C9-B66B90323C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C3-4C4C-A4C9-B66B90323C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FC3-4C4C-A4C9-B66B90323CB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FC3-4C4C-A4C9-B66B90323CB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FC3-4C4C-A4C9-B66B90323CB5}"/>
              </c:ext>
            </c:extLst>
          </c:dPt>
          <c:dPt>
            <c:idx val="8"/>
            <c:bubble3D val="0"/>
            <c:spPr>
              <a:solidFill>
                <a:srgbClr val="0000EA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FC3-4C4C-A4C9-B66B90323CB5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FC3-4C4C-A4C9-B66B90323CB5}"/>
              </c:ext>
            </c:extLst>
          </c:dPt>
          <c:dPt>
            <c:idx val="10"/>
            <c:bubble3D val="0"/>
            <c:spPr>
              <a:solidFill>
                <a:srgbClr val="00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FC3-4C4C-A4C9-B66B90323CB5}"/>
              </c:ext>
            </c:extLst>
          </c:dPt>
          <c:dPt>
            <c:idx val="11"/>
            <c:bubble3D val="0"/>
            <c:spPr>
              <a:solidFill>
                <a:srgbClr val="33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FC3-4C4C-A4C9-B66B90323CB5}"/>
              </c:ext>
            </c:extLst>
          </c:dPt>
          <c:cat>
            <c:strRef>
              <c:f>DISTORTIONS!$D$8:$D$19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DISTORTIONS!$E$8:$E$19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C3-4C4C-A4C9-B66B9032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309385708694563"/>
          <c:y val="1.9455252918287941E-2"/>
          <c:w val="0.1262888187228409"/>
          <c:h val="0.96887159533073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Receivers' Yards Per Catches</a:t>
            </a:r>
          </a:p>
        </c:rich>
      </c:tx>
      <c:layout>
        <c:manualLayout>
          <c:xMode val="edge"/>
          <c:yMode val="edge"/>
          <c:x val="0.35423197492163011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4639498432603"/>
          <c:y val="0.14987714987714995"/>
          <c:w val="0.76959247648902862"/>
          <c:h val="0.8157248157248159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'Chart Exercises 1'!$E$5</c:f>
              <c:strCache>
                <c:ptCount val="1"/>
                <c:pt idx="0">
                  <c:v>Yards Per Catches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Gill Sans MT"/>
                    <a:ea typeface="Gill Sans MT"/>
                    <a:cs typeface="Gill Sans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1'!$E$6:$E$17</c:f>
              <c:numCache>
                <c:formatCode>_(* #,##0.00_);_(* \(#,##0.00\);_(* "-"??_);_(@_)</c:formatCode>
                <c:ptCount val="12"/>
                <c:pt idx="0">
                  <c:v>14.17910447761194</c:v>
                </c:pt>
                <c:pt idx="1">
                  <c:v>12.544117647058824</c:v>
                </c:pt>
                <c:pt idx="2">
                  <c:v>12.678571428571429</c:v>
                </c:pt>
                <c:pt idx="3">
                  <c:v>12.19047619047619</c:v>
                </c:pt>
                <c:pt idx="4">
                  <c:v>10.576923076923077</c:v>
                </c:pt>
                <c:pt idx="5">
                  <c:v>11.285714285714286</c:v>
                </c:pt>
                <c:pt idx="6">
                  <c:v>12.5</c:v>
                </c:pt>
                <c:pt idx="7">
                  <c:v>9.0666666666666664</c:v>
                </c:pt>
                <c:pt idx="8">
                  <c:v>10.375</c:v>
                </c:pt>
                <c:pt idx="9">
                  <c:v>10.4</c:v>
                </c:pt>
                <c:pt idx="10">
                  <c:v>14.5</c:v>
                </c:pt>
                <c:pt idx="1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C-4D15-84A5-5DE08870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54420864"/>
        <c:axId val="654421256"/>
      </c:barChart>
      <c:catAx>
        <c:axId val="654420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4421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4421256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out"/>
        <c:minorTickMark val="none"/>
        <c:tickLblPos val="none"/>
        <c:crossAx val="654420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394984326018807"/>
          <c:y val="3.24189526184538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88087774294668"/>
          <c:y val="0.18952618453865341"/>
          <c:w val="0.73824451410658354"/>
          <c:h val="0.50872817955112215"/>
        </c:manualLayout>
      </c:layout>
      <c:lineChart>
        <c:grouping val="stacked"/>
        <c:varyColors val="0"/>
        <c:ser>
          <c:idx val="1"/>
          <c:order val="0"/>
          <c:tx>
            <c:strRef>
              <c:f>'Chart Exercises 1'!$C$5</c:f>
              <c:strCache>
                <c:ptCount val="1"/>
                <c:pt idx="0">
                  <c:v>Catches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1'!$C$6:$C$17</c:f>
              <c:numCache>
                <c:formatCode>General</c:formatCode>
                <c:ptCount val="12"/>
                <c:pt idx="0">
                  <c:v>67</c:v>
                </c:pt>
                <c:pt idx="1">
                  <c:v>68</c:v>
                </c:pt>
                <c:pt idx="2">
                  <c:v>28</c:v>
                </c:pt>
                <c:pt idx="3">
                  <c:v>21</c:v>
                </c:pt>
                <c:pt idx="4">
                  <c:v>26</c:v>
                </c:pt>
                <c:pt idx="5">
                  <c:v>14</c:v>
                </c:pt>
                <c:pt idx="6">
                  <c:v>2</c:v>
                </c:pt>
                <c:pt idx="7">
                  <c:v>45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E-4528-ABCE-D366CD83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422040"/>
        <c:axId val="654422432"/>
      </c:lineChart>
      <c:catAx>
        <c:axId val="654422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442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442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4422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73667711598747"/>
          <c:y val="0.4139650872817956"/>
          <c:w val="0.13009404388714743"/>
          <c:h val="5.98503740648379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Receiver's Total Catches</a:t>
            </a:r>
          </a:p>
        </c:rich>
      </c:tx>
      <c:layout>
        <c:manualLayout>
          <c:xMode val="edge"/>
          <c:yMode val="edge"/>
          <c:x val="0.37715237607647473"/>
          <c:y val="3.2418952618453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02675235162421E-2"/>
          <c:y val="0.18952618453865341"/>
          <c:w val="0.88106550925749039"/>
          <c:h val="0.50872817955112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Exercises 1'!$C$5</c:f>
              <c:strCache>
                <c:ptCount val="1"/>
                <c:pt idx="0">
                  <c:v>Catches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B34-48ED-8ABB-FB5C96616BD5}"/>
              </c:ext>
            </c:extLst>
          </c:dPt>
          <c:dLbls>
            <c:dLbl>
              <c:idx val="7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Gill Sans MT"/>
                      <a:ea typeface="Gill Sans MT"/>
                      <a:cs typeface="Gill Sans MT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34-48ED-8ABB-FB5C96616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1'!$C$6:$C$17</c:f>
              <c:numCache>
                <c:formatCode>General</c:formatCode>
                <c:ptCount val="12"/>
                <c:pt idx="0">
                  <c:v>67</c:v>
                </c:pt>
                <c:pt idx="1">
                  <c:v>68</c:v>
                </c:pt>
                <c:pt idx="2">
                  <c:v>28</c:v>
                </c:pt>
                <c:pt idx="3">
                  <c:v>21</c:v>
                </c:pt>
                <c:pt idx="4">
                  <c:v>26</c:v>
                </c:pt>
                <c:pt idx="5">
                  <c:v>14</c:v>
                </c:pt>
                <c:pt idx="6">
                  <c:v>2</c:v>
                </c:pt>
                <c:pt idx="7">
                  <c:v>45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4-48ED-8ABB-FB5C9661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60318328"/>
        <c:axId val="660318720"/>
      </c:barChart>
      <c:catAx>
        <c:axId val="66031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6031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318720"/>
        <c:scaling>
          <c:orientation val="minMax"/>
          <c:max val="7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6031832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A Microsoft Excel default chart</a:t>
            </a:r>
          </a:p>
        </c:rich>
      </c:tx>
      <c:layout>
        <c:manualLayout>
          <c:xMode val="edge"/>
          <c:yMode val="edge"/>
          <c:x val="0.24535338253058794"/>
          <c:y val="1.00166944908180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784460843529375E-2"/>
          <c:y val="7.1786310517529234E-2"/>
          <c:w val="0.8550193633641705"/>
          <c:h val="0.6327212020033393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2'!$B$12:$B$24</c:f>
              <c:numCache>
                <c:formatCode>General</c:formatCode>
                <c:ptCount val="13"/>
                <c:pt idx="0">
                  <c:v>0.44786833729322884</c:v>
                </c:pt>
                <c:pt idx="1">
                  <c:v>0.80027867906449712</c:v>
                </c:pt>
                <c:pt idx="2">
                  <c:v>0.32505403891073859</c:v>
                </c:pt>
                <c:pt idx="3">
                  <c:v>0.96873374030921444</c:v>
                </c:pt>
                <c:pt idx="4">
                  <c:v>0.13735772204360397</c:v>
                </c:pt>
                <c:pt idx="5">
                  <c:v>3.1745844195535611E-2</c:v>
                </c:pt>
                <c:pt idx="6">
                  <c:v>0.41935554016039434</c:v>
                </c:pt>
                <c:pt idx="7">
                  <c:v>0.35919043947213414</c:v>
                </c:pt>
                <c:pt idx="8">
                  <c:v>0.92470941403105744</c:v>
                </c:pt>
                <c:pt idx="9">
                  <c:v>0.11715092306475672</c:v>
                </c:pt>
                <c:pt idx="10">
                  <c:v>0.39025912960900389</c:v>
                </c:pt>
                <c:pt idx="11">
                  <c:v>0.14892715183214844</c:v>
                </c:pt>
                <c:pt idx="12">
                  <c:v>0.73607975154148275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5-4621-AB77-381C8FA67854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2'!$C$12:$C$24</c:f>
              <c:numCache>
                <c:formatCode>General</c:formatCode>
                <c:ptCount val="13"/>
                <c:pt idx="0">
                  <c:v>0.79028022332432712</c:v>
                </c:pt>
                <c:pt idx="1">
                  <c:v>0.73481035274744366</c:v>
                </c:pt>
                <c:pt idx="2">
                  <c:v>0.54039469105210003</c:v>
                </c:pt>
                <c:pt idx="3">
                  <c:v>6.4175234892097421E-2</c:v>
                </c:pt>
                <c:pt idx="4">
                  <c:v>0.23633393840375616</c:v>
                </c:pt>
                <c:pt idx="5">
                  <c:v>0.86236081876411941</c:v>
                </c:pt>
                <c:pt idx="6">
                  <c:v>0.31323799271074559</c:v>
                </c:pt>
                <c:pt idx="7">
                  <c:v>0.54936436678580414</c:v>
                </c:pt>
                <c:pt idx="8">
                  <c:v>0.83758812844844788</c:v>
                </c:pt>
                <c:pt idx="9">
                  <c:v>0.71961913254189902</c:v>
                </c:pt>
                <c:pt idx="10">
                  <c:v>0.2977409505810602</c:v>
                </c:pt>
                <c:pt idx="11">
                  <c:v>8.2117555907741391E-2</c:v>
                </c:pt>
                <c:pt idx="12">
                  <c:v>0.36783133179831928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5-4621-AB77-381C8FA67854}"/>
            </c:ext>
          </c:extLst>
        </c:ser>
        <c:ser>
          <c:idx val="2"/>
          <c:order val="2"/>
          <c:spPr>
            <a:solidFill>
              <a:srgbClr val="00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2'!$D$12:$D$24</c:f>
              <c:numCache>
                <c:formatCode>General</c:formatCode>
                <c:ptCount val="13"/>
                <c:pt idx="0">
                  <c:v>0.97422612754696747</c:v>
                </c:pt>
                <c:pt idx="1">
                  <c:v>0.35344568078241556</c:v>
                </c:pt>
                <c:pt idx="2">
                  <c:v>0.41589725680623579</c:v>
                </c:pt>
                <c:pt idx="3">
                  <c:v>0.48774161182920128</c:v>
                </c:pt>
                <c:pt idx="4">
                  <c:v>0.89535747400058097</c:v>
                </c:pt>
                <c:pt idx="5">
                  <c:v>0.64615334171668337</c:v>
                </c:pt>
                <c:pt idx="6">
                  <c:v>1.8489631079990687E-2</c:v>
                </c:pt>
                <c:pt idx="7">
                  <c:v>0.23691872658025681</c:v>
                </c:pt>
                <c:pt idx="8">
                  <c:v>0.50176231767085255</c:v>
                </c:pt>
                <c:pt idx="9">
                  <c:v>1.8551751708141717E-2</c:v>
                </c:pt>
                <c:pt idx="10">
                  <c:v>0.61784522524443153</c:v>
                </c:pt>
                <c:pt idx="11">
                  <c:v>0.65436236963025518</c:v>
                </c:pt>
                <c:pt idx="12">
                  <c:v>0.44880883676810535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5-4621-AB77-381C8FA6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319504"/>
        <c:axId val="459766968"/>
        <c:axId val="0"/>
      </c:bar3DChart>
      <c:catAx>
        <c:axId val="660319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4597669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59766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60319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085577266040056"/>
          <c:y val="0.30550918196995019"/>
          <c:w val="0.12639416675818166"/>
          <c:h val="0.136894824707846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De-chart junked chart</a:t>
            </a:r>
          </a:p>
        </c:rich>
      </c:tx>
      <c:layout>
        <c:manualLayout>
          <c:xMode val="edge"/>
          <c:yMode val="edge"/>
          <c:x val="0.3141266791490106"/>
          <c:y val="1.00166944908180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9925723097085483E-2"/>
          <c:y val="6.6777963272120197E-2"/>
          <c:w val="0.85687810111061391"/>
          <c:h val="0.6460767946577629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2'!$B$12:$B$24</c:f>
              <c:numCache>
                <c:formatCode>General</c:formatCode>
                <c:ptCount val="13"/>
                <c:pt idx="0">
                  <c:v>0.44786833729322884</c:v>
                </c:pt>
                <c:pt idx="1">
                  <c:v>0.80027867906449712</c:v>
                </c:pt>
                <c:pt idx="2">
                  <c:v>0.32505403891073859</c:v>
                </c:pt>
                <c:pt idx="3">
                  <c:v>0.96873374030921444</c:v>
                </c:pt>
                <c:pt idx="4">
                  <c:v>0.13735772204360397</c:v>
                </c:pt>
                <c:pt idx="5">
                  <c:v>3.1745844195535611E-2</c:v>
                </c:pt>
                <c:pt idx="6">
                  <c:v>0.41935554016039434</c:v>
                </c:pt>
                <c:pt idx="7">
                  <c:v>0.35919043947213414</c:v>
                </c:pt>
                <c:pt idx="8">
                  <c:v>0.92470941403105744</c:v>
                </c:pt>
                <c:pt idx="9">
                  <c:v>0.11715092306475672</c:v>
                </c:pt>
                <c:pt idx="10">
                  <c:v>0.39025912960900389</c:v>
                </c:pt>
                <c:pt idx="11">
                  <c:v>0.14892715183214844</c:v>
                </c:pt>
                <c:pt idx="12">
                  <c:v>0.73607975154148275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9-4A7A-83E7-70AD67951F48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2'!$C$12:$C$24</c:f>
              <c:numCache>
                <c:formatCode>General</c:formatCode>
                <c:ptCount val="13"/>
                <c:pt idx="0">
                  <c:v>0.79028022332432712</c:v>
                </c:pt>
                <c:pt idx="1">
                  <c:v>0.73481035274744366</c:v>
                </c:pt>
                <c:pt idx="2">
                  <c:v>0.54039469105210003</c:v>
                </c:pt>
                <c:pt idx="3">
                  <c:v>6.4175234892097421E-2</c:v>
                </c:pt>
                <c:pt idx="4">
                  <c:v>0.23633393840375616</c:v>
                </c:pt>
                <c:pt idx="5">
                  <c:v>0.86236081876411941</c:v>
                </c:pt>
                <c:pt idx="6">
                  <c:v>0.31323799271074559</c:v>
                </c:pt>
                <c:pt idx="7">
                  <c:v>0.54936436678580414</c:v>
                </c:pt>
                <c:pt idx="8">
                  <c:v>0.83758812844844788</c:v>
                </c:pt>
                <c:pt idx="9">
                  <c:v>0.71961913254189902</c:v>
                </c:pt>
                <c:pt idx="10">
                  <c:v>0.2977409505810602</c:v>
                </c:pt>
                <c:pt idx="11">
                  <c:v>8.2117555907741391E-2</c:v>
                </c:pt>
                <c:pt idx="12">
                  <c:v>0.36783133179831928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9-4A7A-83E7-70AD67951F48}"/>
            </c:ext>
          </c:extLst>
        </c:ser>
        <c:ser>
          <c:idx val="2"/>
          <c:order val="2"/>
          <c:spPr>
            <a:solidFill>
              <a:srgbClr val="00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'Charts Exercises 2'!$D$12:$D$24</c:f>
              <c:numCache>
                <c:formatCode>General</c:formatCode>
                <c:ptCount val="13"/>
                <c:pt idx="0">
                  <c:v>0.97422612754696747</c:v>
                </c:pt>
                <c:pt idx="1">
                  <c:v>0.35344568078241556</c:v>
                </c:pt>
                <c:pt idx="2">
                  <c:v>0.41589725680623579</c:v>
                </c:pt>
                <c:pt idx="3">
                  <c:v>0.48774161182920128</c:v>
                </c:pt>
                <c:pt idx="4">
                  <c:v>0.89535747400058097</c:v>
                </c:pt>
                <c:pt idx="5">
                  <c:v>0.64615334171668337</c:v>
                </c:pt>
                <c:pt idx="6">
                  <c:v>1.8489631079990687E-2</c:v>
                </c:pt>
                <c:pt idx="7">
                  <c:v>0.23691872658025681</c:v>
                </c:pt>
                <c:pt idx="8">
                  <c:v>0.50176231767085255</c:v>
                </c:pt>
                <c:pt idx="9">
                  <c:v>1.8551751708141717E-2</c:v>
                </c:pt>
                <c:pt idx="10">
                  <c:v>0.61784522524443153</c:v>
                </c:pt>
                <c:pt idx="11">
                  <c:v>0.65436236963025518</c:v>
                </c:pt>
                <c:pt idx="12">
                  <c:v>0.44880883676810535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9-4A7A-83E7-70AD67951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9768144"/>
        <c:axId val="459768536"/>
        <c:axId val="0"/>
      </c:bar3DChart>
      <c:catAx>
        <c:axId val="459768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4597685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59768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459768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085577266040056"/>
          <c:y val="0.30550918196995019"/>
          <c:w val="0.12639416675818166"/>
          <c:h val="0.136894824707846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Amount over Time</a:t>
            </a:r>
          </a:p>
        </c:rich>
      </c:tx>
      <c:layout>
        <c:manualLayout>
          <c:xMode val="edge"/>
          <c:yMode val="edge"/>
          <c:x val="0.41003008911505751"/>
          <c:y val="3.209884283092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1905538327252"/>
          <c:y val="0.18765477347312276"/>
          <c:w val="0.81858524985200276"/>
          <c:h val="0.68395226647440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'Charts Exercises 3'!$C$14</c:f>
              <c:strCache>
                <c:ptCount val="1"/>
                <c:pt idx="0">
                  <c:v>amount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picture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9525">
                <a:noFill/>
              </a:ln>
            </c:spPr>
          </c:marker>
          <c:xVal>
            <c:numRef>
              <c:f>'Charts Exercises 3'!$B$15:$B$24</c:f>
              <c:numCache>
                <c:formatCode>General</c:formatCode>
                <c:ptCount val="1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</c:numCache>
            </c:numRef>
          </c:xVal>
          <c:yVal>
            <c:numRef>
              <c:f>'Charts Exercises 3'!$C$15:$C$24</c:f>
              <c:numCache>
                <c:formatCode>General</c:formatCode>
                <c:ptCount val="10"/>
                <c:pt idx="0">
                  <c:v>23564</c:v>
                </c:pt>
                <c:pt idx="1">
                  <c:v>27948</c:v>
                </c:pt>
                <c:pt idx="2">
                  <c:v>31500</c:v>
                </c:pt>
                <c:pt idx="3">
                  <c:v>33021</c:v>
                </c:pt>
                <c:pt idx="4">
                  <c:v>35093</c:v>
                </c:pt>
                <c:pt idx="5">
                  <c:v>36927</c:v>
                </c:pt>
                <c:pt idx="6">
                  <c:v>37321</c:v>
                </c:pt>
                <c:pt idx="7">
                  <c:v>41002</c:v>
                </c:pt>
                <c:pt idx="8">
                  <c:v>43982</c:v>
                </c:pt>
                <c:pt idx="9">
                  <c:v>47283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38-4385-B1C8-4B06800D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859808"/>
        <c:axId val="654860200"/>
      </c:scatterChart>
      <c:scatterChart>
        <c:scatterStyle val="lineMarker"/>
        <c:varyColors val="0"/>
        <c:ser>
          <c:idx val="1"/>
          <c:order val="1"/>
          <c:tx>
            <c:strRef>
              <c:f>'Charts Exercises 3'!$D$14</c:f>
              <c:strCache>
                <c:ptCount val="1"/>
                <c:pt idx="0">
                  <c:v>second metric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'Charts Exercises 3'!$B$15:$B$24</c:f>
              <c:numCache>
                <c:formatCode>General</c:formatCode>
                <c:ptCount val="1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</c:numCache>
            </c:numRef>
          </c:xVal>
          <c:yVal>
            <c:numRef>
              <c:f>'Charts Exercises 3'!$D$15:$D$24</c:f>
              <c:numCache>
                <c:formatCode>General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50</c:v>
                </c:pt>
                <c:pt idx="3">
                  <c:v>50</c:v>
                </c:pt>
                <c:pt idx="4">
                  <c:v>70</c:v>
                </c:pt>
                <c:pt idx="5">
                  <c:v>80</c:v>
                </c:pt>
                <c:pt idx="6">
                  <c:v>75</c:v>
                </c:pt>
                <c:pt idx="7">
                  <c:v>65</c:v>
                </c:pt>
                <c:pt idx="8">
                  <c:v>60</c:v>
                </c:pt>
                <c:pt idx="9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38-4385-B1C8-4B06800D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753600"/>
        <c:axId val="652753992"/>
      </c:scatterChart>
      <c:valAx>
        <c:axId val="6548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4860200"/>
        <c:crosses val="autoZero"/>
        <c:crossBetween val="midCat"/>
      </c:valAx>
      <c:valAx>
        <c:axId val="6548602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4859808"/>
        <c:crosses val="autoZero"/>
        <c:crossBetween val="midCat"/>
      </c:valAx>
      <c:valAx>
        <c:axId val="65275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52753992"/>
        <c:crosses val="autoZero"/>
        <c:crossBetween val="midCat"/>
      </c:valAx>
      <c:valAx>
        <c:axId val="65275399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536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Amount over Time</a:t>
            </a:r>
          </a:p>
        </c:rich>
      </c:tx>
      <c:layout>
        <c:manualLayout>
          <c:xMode val="edge"/>
          <c:yMode val="edge"/>
          <c:x val="0.41089867545525632"/>
          <c:y val="3.209884283092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3867406016579"/>
          <c:y val="0.18765477347312276"/>
          <c:w val="0.83357939178378115"/>
          <c:h val="0.68395226647440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'Charts Exercises 3'!$C$14</c:f>
              <c:strCache>
                <c:ptCount val="1"/>
                <c:pt idx="0">
                  <c:v>amount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picture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9525">
                <a:noFill/>
              </a:ln>
            </c:spPr>
          </c:marker>
          <c:xVal>
            <c:numRef>
              <c:f>'Charts Exercises 3'!$B$15:$B$24</c:f>
              <c:numCache>
                <c:formatCode>General</c:formatCode>
                <c:ptCount val="1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</c:numCache>
            </c:numRef>
          </c:xVal>
          <c:yVal>
            <c:numRef>
              <c:f>'Charts Exercises 3'!$C$15:$C$24</c:f>
              <c:numCache>
                <c:formatCode>General</c:formatCode>
                <c:ptCount val="10"/>
                <c:pt idx="0">
                  <c:v>23564</c:v>
                </c:pt>
                <c:pt idx="1">
                  <c:v>27948</c:v>
                </c:pt>
                <c:pt idx="2">
                  <c:v>31500</c:v>
                </c:pt>
                <c:pt idx="3">
                  <c:v>33021</c:v>
                </c:pt>
                <c:pt idx="4">
                  <c:v>35093</c:v>
                </c:pt>
                <c:pt idx="5">
                  <c:v>36927</c:v>
                </c:pt>
                <c:pt idx="6">
                  <c:v>37321</c:v>
                </c:pt>
                <c:pt idx="7">
                  <c:v>41002</c:v>
                </c:pt>
                <c:pt idx="8">
                  <c:v>43982</c:v>
                </c:pt>
                <c:pt idx="9">
                  <c:v>47283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4B-45B2-ADA5-FEFFFA23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754776"/>
        <c:axId val="652755168"/>
      </c:scatterChart>
      <c:valAx>
        <c:axId val="652754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55168"/>
        <c:crosses val="autoZero"/>
        <c:crossBetween val="midCat"/>
      </c:valAx>
      <c:valAx>
        <c:axId val="6527551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547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2846837056383"/>
          <c:y val="0.10247367503877791"/>
          <c:w val="0.85897650985704566"/>
          <c:h val="0.7208493002727827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'Charts Exercises 4'!$E$27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'Charts Exercises 4'!$C$28:$C$37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'Charts Exercises 4'!$E$28:$E$37</c:f>
              <c:numCache>
                <c:formatCode>General</c:formatCode>
                <c:ptCount val="10"/>
                <c:pt idx="0">
                  <c:v>4.8910634108267015E-2</c:v>
                </c:pt>
                <c:pt idx="1">
                  <c:v>0.50898302619813429</c:v>
                </c:pt>
                <c:pt idx="2">
                  <c:v>0.9963824329222053</c:v>
                </c:pt>
                <c:pt idx="3">
                  <c:v>0.99643953697229648</c:v>
                </c:pt>
                <c:pt idx="4">
                  <c:v>0.10767847208642034</c:v>
                </c:pt>
                <c:pt idx="5">
                  <c:v>0.2294184381141493</c:v>
                </c:pt>
                <c:pt idx="6">
                  <c:v>0.69858305450731972</c:v>
                </c:pt>
                <c:pt idx="7">
                  <c:v>3.6419429521921565E-2</c:v>
                </c:pt>
                <c:pt idx="8">
                  <c:v>0.51914137330754073</c:v>
                </c:pt>
                <c:pt idx="9">
                  <c:v>0.15574540088498079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3B6-ADA2-C56C5D69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768720"/>
        <c:axId val="652769112"/>
      </c:barChart>
      <c:lineChart>
        <c:grouping val="standard"/>
        <c:varyColors val="0"/>
        <c:ser>
          <c:idx val="0"/>
          <c:order val="0"/>
          <c:tx>
            <c:strRef>
              <c:f>'Charts Exercises 4'!$D$27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C0C0C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'Charts Exercises 4'!$C$28:$C$37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'Charts Exercises 4'!$D$28:$D$37</c:f>
              <c:numCache>
                <c:formatCode>General</c:formatCode>
                <c:ptCount val="10"/>
                <c:pt idx="0">
                  <c:v>0.33981485061341177</c:v>
                </c:pt>
                <c:pt idx="1">
                  <c:v>5.8518081266490274E-2</c:v>
                </c:pt>
                <c:pt idx="2">
                  <c:v>0.53878320464044993</c:v>
                </c:pt>
                <c:pt idx="3">
                  <c:v>0.68359910853446149</c:v>
                </c:pt>
                <c:pt idx="4">
                  <c:v>0.81578482061213098</c:v>
                </c:pt>
                <c:pt idx="5">
                  <c:v>0.88707102470388244</c:v>
                </c:pt>
                <c:pt idx="6">
                  <c:v>0.21221962405282291</c:v>
                </c:pt>
                <c:pt idx="7">
                  <c:v>0.64925505532519168</c:v>
                </c:pt>
                <c:pt idx="8">
                  <c:v>0.31325082716333985</c:v>
                </c:pt>
                <c:pt idx="9">
                  <c:v>0.38983406416892863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8-43B6-ADA2-C56C5D69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768720"/>
        <c:axId val="652769112"/>
      </c:lineChart>
      <c:catAx>
        <c:axId val="6527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69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769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6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SALES</a:t>
            </a:r>
          </a:p>
        </c:rich>
      </c:tx>
      <c:layout>
        <c:manualLayout>
          <c:xMode val="edge"/>
          <c:yMode val="edge"/>
          <c:x val="0.42377367917696041"/>
          <c:y val="3.906257450594807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103561307840063E-2"/>
          <c:y val="0.35937568545472254"/>
          <c:w val="0.60723667443040052"/>
          <c:h val="0.437500834466618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4F-463E-872F-6EFE0EB506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4F-463E-872F-6EFE0EB506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4F-463E-872F-6EFE0EB50642}"/>
              </c:ext>
            </c:extLst>
          </c:dPt>
          <c:cat>
            <c:strRef>
              <c:f>DISTORTIONS!$D$24:$D$27</c:f>
              <c:strCache>
                <c:ptCount val="4"/>
                <c:pt idx="0">
                  <c:v>APPLES</c:v>
                </c:pt>
                <c:pt idx="1">
                  <c:v>PEARS</c:v>
                </c:pt>
                <c:pt idx="2">
                  <c:v>ORANGES</c:v>
                </c:pt>
                <c:pt idx="3">
                  <c:v>CHERRIES</c:v>
                </c:pt>
              </c:strCache>
            </c:strRef>
          </c:cat>
          <c:val>
            <c:numRef>
              <c:f>DISTORTIONS!$E$24:$E$27</c:f>
              <c:numCache>
                <c:formatCode>General</c:formatCode>
                <c:ptCount val="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4F-463E-872F-6EFE0EB50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710785365152089"/>
          <c:y val="0.41406328976304985"/>
          <c:w val="0.22222278298304007"/>
          <c:h val="0.332031883300558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852740564288003"/>
          <c:y val="5.4687604308327344E-2"/>
          <c:w val="0.6201566036736007"/>
          <c:h val="0.7890640050201511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DISTORTIONS!$D$40</c:f>
              <c:strCache>
                <c:ptCount val="1"/>
                <c:pt idx="0">
                  <c:v>APPLES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DISTORTIONS!$E$39:$G$39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DISTORTIONS!$E$40:$G$40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6-4A56-BD00-8631CFD1B8ED}"/>
            </c:ext>
          </c:extLst>
        </c:ser>
        <c:ser>
          <c:idx val="1"/>
          <c:order val="1"/>
          <c:tx>
            <c:strRef>
              <c:f>DISTORTIONS!$D$41</c:f>
              <c:strCache>
                <c:ptCount val="1"/>
                <c:pt idx="0">
                  <c:v>PEARS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DISTORTIONS!$E$39:$G$39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DISTORTIONS!$E$41:$G$41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6-4A56-BD00-8631CFD1B8ED}"/>
            </c:ext>
          </c:extLst>
        </c:ser>
        <c:ser>
          <c:idx val="2"/>
          <c:order val="2"/>
          <c:tx>
            <c:strRef>
              <c:f>DISTORTIONS!$D$42</c:f>
              <c:strCache>
                <c:ptCount val="1"/>
                <c:pt idx="0">
                  <c:v>ORANGES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DISTORTIONS!$E$39:$G$39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DISTORTIONS!$E$42:$G$42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6-4A56-BD00-8631CFD1B8ED}"/>
            </c:ext>
          </c:extLst>
        </c:ser>
        <c:ser>
          <c:idx val="3"/>
          <c:order val="3"/>
          <c:tx>
            <c:strRef>
              <c:f>DISTORTIONS!$D$43</c:f>
              <c:strCache>
                <c:ptCount val="1"/>
                <c:pt idx="0">
                  <c:v>CHERRIES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DISTORTIONS!$E$39:$G$39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DISTORTIONS!$E$43:$G$43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C6-4A56-BD00-8631CFD1B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55732320"/>
        <c:axId val="655732712"/>
        <c:axId val="0"/>
      </c:bar3DChart>
      <c:catAx>
        <c:axId val="6557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73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732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732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710785365152089"/>
          <c:y val="0.33593814075115347"/>
          <c:w val="0.22222278298304007"/>
          <c:h val="0.332031883300558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HOW MUCH WAS SOLD IN MARCH?</a:t>
            </a:r>
          </a:p>
        </c:rich>
      </c:tx>
      <c:layout>
        <c:manualLayout>
          <c:xMode val="edge"/>
          <c:yMode val="edge"/>
          <c:x val="0.20671886789120025"/>
          <c:y val="3.90625745059480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0439504702400031E-2"/>
          <c:y val="0.18359410017795613"/>
          <c:w val="0.6950921932841605"/>
          <c:h val="0.66015750915052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DISTORTIONS!$E$58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DISTORTIONS!$D$59:$D$61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DISTORTIONS!$E$59:$E$61</c:f>
              <c:numCache>
                <c:formatCode>General</c:formatCode>
                <c:ptCount val="3"/>
                <c:pt idx="0">
                  <c:v>40</c:v>
                </c:pt>
                <c:pt idx="1">
                  <c:v>60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0-431D-9172-01A3C6C69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5733496"/>
        <c:axId val="656324000"/>
        <c:axId val="0"/>
      </c:bar3DChart>
      <c:catAx>
        <c:axId val="65573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32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32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733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395554232160061"/>
          <c:y val="0.52343849837970424"/>
          <c:w val="0.16537509431296013"/>
          <c:h val="8.593766391308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WHO SOLD MORE,
 North or South?</a:t>
            </a:r>
          </a:p>
        </c:rich>
      </c:tx>
      <c:layout>
        <c:manualLayout>
          <c:xMode val="edge"/>
          <c:yMode val="edge"/>
          <c:x val="0.30749431598816035"/>
          <c:y val="3.53697749196141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0439504702400031E-2"/>
          <c:y val="0.24437299035369775"/>
          <c:w val="0.56589290085215982"/>
          <c:h val="0.6205787781350482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DISTORTIONS!$E$58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DISTORTIONS!$D$59:$D$61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DISTORTIONS!$E$59:$E$61</c:f>
              <c:numCache>
                <c:formatCode>General</c:formatCode>
                <c:ptCount val="3"/>
                <c:pt idx="0">
                  <c:v>40</c:v>
                </c:pt>
                <c:pt idx="1">
                  <c:v>60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0-4F37-872E-3565FAF5F131}"/>
            </c:ext>
          </c:extLst>
        </c:ser>
        <c:ser>
          <c:idx val="1"/>
          <c:order val="1"/>
          <c:tx>
            <c:strRef>
              <c:f>DISTORTIONS!$F$58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DISTORTIONS!$D$59:$D$61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DISTORTIONS!$F$59:$F$61</c:f>
              <c:numCache>
                <c:formatCode>General</c:formatCode>
                <c:ptCount val="3"/>
                <c:pt idx="0">
                  <c:v>40</c:v>
                </c:pt>
                <c:pt idx="1">
                  <c:v>60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0-4F37-872E-3565FAF5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6324784"/>
        <c:axId val="656325176"/>
        <c:axId val="653500920"/>
      </c:bar3DChart>
      <c:catAx>
        <c:axId val="6563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3251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56325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324784"/>
        <c:crosses val="autoZero"/>
        <c:crossBetween val="between"/>
      </c:valAx>
      <c:serAx>
        <c:axId val="65350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325176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395554232160061"/>
          <c:y val="0.5337620578778135"/>
          <c:w val="0.16537509431296013"/>
          <c:h val="0.138263665594855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Waterfall Chart</a:t>
            </a:r>
          </a:p>
        </c:rich>
      </c:tx>
      <c:layout>
        <c:manualLayout>
          <c:xMode val="edge"/>
          <c:yMode val="edge"/>
          <c:x val="0.43381535038932156"/>
          <c:y val="1.9575856443719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6062291434932"/>
          <c:y val="0.12234910277324636"/>
          <c:w val="0.79199110122358196"/>
          <c:h val="0.8107667210440455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Sheet1!$H$1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Sheet1!$B$2:$B$7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Materials</c:v>
                </c:pt>
                <c:pt idx="3">
                  <c:v>Rooms</c:v>
                </c:pt>
                <c:pt idx="4">
                  <c:v>Overhead</c:v>
                </c:pt>
                <c:pt idx="5">
                  <c:v>Profit</c:v>
                </c:pt>
              </c:strCache>
            </c:strRef>
          </c:cat>
          <c:val>
            <c:numRef>
              <c:f>Sheet1!$H$2:$H$7</c:f>
              <c:numCache>
                <c:formatCode>General</c:formatCode>
                <c:ptCount val="6"/>
                <c:pt idx="5">
                  <c:v>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4-4A9D-BE0F-56DA1E165718}"/>
            </c:ext>
          </c:extLst>
        </c:ser>
        <c:ser>
          <c:idx val="0"/>
          <c:order val="1"/>
          <c:tx>
            <c:strRef>
              <c:f>Sheet1!$E$1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Sheet1!$B$2:$B$7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Materials</c:v>
                </c:pt>
                <c:pt idx="3">
                  <c:v>Rooms</c:v>
                </c:pt>
                <c:pt idx="4">
                  <c:v>Overhead</c:v>
                </c:pt>
                <c:pt idx="5">
                  <c:v>Profit</c:v>
                </c:pt>
              </c:strCache>
            </c:strRef>
          </c:cat>
          <c:val>
            <c:numRef>
              <c:f>Sheet1!$E$2:$E$7</c:f>
              <c:numCache>
                <c:formatCode>General</c:formatCode>
                <c:ptCount val="6"/>
                <c:pt idx="0">
                  <c:v>95000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4-4A9D-BE0F-56DA1E165718}"/>
            </c:ext>
          </c:extLst>
        </c:ser>
        <c:ser>
          <c:idx val="1"/>
          <c:order val="2"/>
          <c:tx>
            <c:strRef>
              <c:f>Sheet1!$F$1</c:f>
              <c:strCache>
                <c:ptCount val="1"/>
                <c:pt idx="0">
                  <c:v>Gap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Sheet1!$B$2:$B$7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Materials</c:v>
                </c:pt>
                <c:pt idx="3">
                  <c:v>Rooms</c:v>
                </c:pt>
                <c:pt idx="4">
                  <c:v>Overhead</c:v>
                </c:pt>
                <c:pt idx="5">
                  <c:v>Profit</c:v>
                </c:pt>
              </c:strCache>
            </c:strRef>
          </c:cat>
          <c:val>
            <c:numRef>
              <c:f>Sheet1!$F$2:$F$7</c:f>
              <c:numCache>
                <c:formatCode>General</c:formatCode>
                <c:ptCount val="6"/>
                <c:pt idx="1">
                  <c:v>53000</c:v>
                </c:pt>
                <c:pt idx="2">
                  <c:v>39000</c:v>
                </c:pt>
                <c:pt idx="3">
                  <c:v>16000</c:v>
                </c:pt>
                <c:pt idx="4">
                  <c:v>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54-4A9D-BE0F-56DA1E165718}"/>
            </c:ext>
          </c:extLst>
        </c:ser>
        <c:ser>
          <c:idx val="2"/>
          <c:order val="3"/>
          <c:tx>
            <c:strRef>
              <c:f>Sheet1!$G$1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Sheet1!$B$2:$B$7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Materials</c:v>
                </c:pt>
                <c:pt idx="3">
                  <c:v>Rooms</c:v>
                </c:pt>
                <c:pt idx="4">
                  <c:v>Overhead</c:v>
                </c:pt>
                <c:pt idx="5">
                  <c:v>Profit</c:v>
                </c:pt>
              </c:strCache>
            </c:strRef>
          </c:cat>
          <c:val>
            <c:numRef>
              <c:f>Sheet1!$G$2:$G$7</c:f>
              <c:numCache>
                <c:formatCode>General</c:formatCode>
                <c:ptCount val="6"/>
                <c:pt idx="1">
                  <c:v>42000</c:v>
                </c:pt>
                <c:pt idx="2">
                  <c:v>14000</c:v>
                </c:pt>
                <c:pt idx="3">
                  <c:v>23000</c:v>
                </c:pt>
                <c:pt idx="4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54-4A9D-BE0F-56DA1E16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52765888"/>
        <c:axId val="652766280"/>
      </c:barChart>
      <c:catAx>
        <c:axId val="6527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76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766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\$* #,##0.0_);_(\$* \(#,##0.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7658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90878754171301446"/>
          <c:y val="0.47634584013050568"/>
          <c:w val="8.6763070077864296E-2"/>
          <c:h val="0.104404567699836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484349640621376"/>
          <c:y val="3.31632653061224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39767497923249E-2"/>
          <c:y val="0.20153061224489791"/>
          <c:w val="0.7971710353574516"/>
          <c:h val="0.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Exercises 1'!$D$5</c:f>
              <c:strCache>
                <c:ptCount val="1"/>
                <c:pt idx="0">
                  <c:v>Yards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1'!$D$6:$D$17</c:f>
              <c:numCache>
                <c:formatCode>General</c:formatCode>
                <c:ptCount val="12"/>
                <c:pt idx="0">
                  <c:v>950</c:v>
                </c:pt>
                <c:pt idx="1">
                  <c:v>853</c:v>
                </c:pt>
                <c:pt idx="2">
                  <c:v>355</c:v>
                </c:pt>
                <c:pt idx="3">
                  <c:v>256</c:v>
                </c:pt>
                <c:pt idx="4">
                  <c:v>275</c:v>
                </c:pt>
                <c:pt idx="5">
                  <c:v>158</c:v>
                </c:pt>
                <c:pt idx="6">
                  <c:v>25</c:v>
                </c:pt>
                <c:pt idx="7">
                  <c:v>408</c:v>
                </c:pt>
                <c:pt idx="8">
                  <c:v>83</c:v>
                </c:pt>
                <c:pt idx="9">
                  <c:v>52</c:v>
                </c:pt>
                <c:pt idx="10">
                  <c:v>29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D-4F40-894E-D9101C98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767064"/>
        <c:axId val="652767456"/>
      </c:barChart>
      <c:catAx>
        <c:axId val="652767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6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76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2767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880642689666058"/>
          <c:y val="0.41836734693877564"/>
          <c:w val="7.8616472914936106E-2"/>
          <c:h val="6.6326530612244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Receivers' Total Yards  </a:t>
            </a:r>
          </a:p>
        </c:rich>
      </c:tx>
      <c:layout>
        <c:manualLayout>
          <c:xMode val="edge"/>
          <c:yMode val="edge"/>
          <c:x val="0.38775539926796093"/>
          <c:y val="3.3163265306122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9"/>
          <c:y val="0.19132653061224489"/>
          <c:w val="0.87441197324799269"/>
          <c:h val="0.510204081632652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Exercises 1'!$D$5</c:f>
              <c:strCache>
                <c:ptCount val="1"/>
                <c:pt idx="0">
                  <c:v>Yards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Gill Sans MT"/>
                    <a:ea typeface="Gill Sans MT"/>
                    <a:cs typeface="Gill Sans M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1'!$D$6:$D$17</c:f>
              <c:numCache>
                <c:formatCode>General</c:formatCode>
                <c:ptCount val="12"/>
                <c:pt idx="0">
                  <c:v>950</c:v>
                </c:pt>
                <c:pt idx="1">
                  <c:v>853</c:v>
                </c:pt>
                <c:pt idx="2">
                  <c:v>355</c:v>
                </c:pt>
                <c:pt idx="3">
                  <c:v>256</c:v>
                </c:pt>
                <c:pt idx="4">
                  <c:v>275</c:v>
                </c:pt>
                <c:pt idx="5">
                  <c:v>158</c:v>
                </c:pt>
                <c:pt idx="6">
                  <c:v>25</c:v>
                </c:pt>
                <c:pt idx="7">
                  <c:v>408</c:v>
                </c:pt>
                <c:pt idx="8">
                  <c:v>83</c:v>
                </c:pt>
                <c:pt idx="9">
                  <c:v>52</c:v>
                </c:pt>
                <c:pt idx="10">
                  <c:v>29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F-4911-924C-9E20C4D51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345896"/>
        <c:axId val="656346288"/>
      </c:barChart>
      <c:catAx>
        <c:axId val="65634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63462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563462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656345896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915259758925344"/>
          <c:y val="3.25000396729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073836306843273E-2"/>
          <c:y val="0.35000042724661545"/>
          <c:w val="0.65463158499894603"/>
          <c:h val="0.41500050659241539"/>
        </c:manualLayout>
      </c:layout>
      <c:pie3DChart>
        <c:varyColors val="1"/>
        <c:ser>
          <c:idx val="1"/>
          <c:order val="0"/>
          <c:tx>
            <c:strRef>
              <c:f>'Chart Exercises 1'!$E$5</c:f>
              <c:strCache>
                <c:ptCount val="1"/>
                <c:pt idx="0">
                  <c:v>Yards Per Catches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3333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3-4ABF-8568-FC2C07173F86}"/>
              </c:ext>
            </c:extLst>
          </c:dPt>
          <c:dPt>
            <c:idx val="2"/>
            <c:bubble3D val="0"/>
            <c:spPr>
              <a:solidFill>
                <a:srgbClr val="00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3-4ABF-8568-FC2C07173F8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3-4ABF-8568-FC2C07173F86}"/>
              </c:ext>
            </c:extLst>
          </c:dPt>
          <c:dPt>
            <c:idx val="4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3-4ABF-8568-FC2C07173F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F3-4ABF-8568-FC2C07173F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F3-4ABF-8568-FC2C07173F86}"/>
              </c:ext>
            </c:extLst>
          </c:dPt>
          <c:dPt>
            <c:idx val="7"/>
            <c:bubble3D val="0"/>
            <c:spPr>
              <a:solidFill>
                <a:srgbClr val="DDDDD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4F3-4ABF-8568-FC2C07173F8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4F3-4ABF-8568-FC2C07173F8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4F3-4ABF-8568-FC2C07173F8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4F3-4ABF-8568-FC2C07173F86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4F3-4ABF-8568-FC2C07173F86}"/>
              </c:ext>
            </c:extLst>
          </c:dPt>
          <c:cat>
            <c:strRef>
              <c:f>'Chart Exercises 1'!$B$6:$B$17</c:f>
              <c:strCache>
                <c:ptCount val="12"/>
                <c:pt idx="0">
                  <c:v>Santana Moss</c:v>
                </c:pt>
                <c:pt idx="1">
                  <c:v>David Patten</c:v>
                </c:pt>
                <c:pt idx="2">
                  <c:v>Darnerien McCants</c:v>
                </c:pt>
                <c:pt idx="3">
                  <c:v>James Thrash</c:v>
                </c:pt>
                <c:pt idx="4">
                  <c:v>Taylor Jacobs</c:v>
                </c:pt>
                <c:pt idx="5">
                  <c:v>Kevin Dyson</c:v>
                </c:pt>
                <c:pt idx="6">
                  <c:v>Jimmy Farris</c:v>
                </c:pt>
                <c:pt idx="7">
                  <c:v>Chris Cooley</c:v>
                </c:pt>
                <c:pt idx="8">
                  <c:v>Robert Royal</c:v>
                </c:pt>
                <c:pt idx="9">
                  <c:v>Jabari Holloway</c:v>
                </c:pt>
                <c:pt idx="10">
                  <c:v>Mike Sellers</c:v>
                </c:pt>
                <c:pt idx="11">
                  <c:v>Billy Baber</c:v>
                </c:pt>
              </c:strCache>
            </c:strRef>
          </c:cat>
          <c:val>
            <c:numRef>
              <c:f>'Chart Exercises 1'!$E$6:$E$17</c:f>
              <c:numCache>
                <c:formatCode>_(* #,##0.00_);_(* \(#,##0.00\);_(* "-"??_);_(@_)</c:formatCode>
                <c:ptCount val="12"/>
                <c:pt idx="0">
                  <c:v>14.17910447761194</c:v>
                </c:pt>
                <c:pt idx="1">
                  <c:v>12.544117647058824</c:v>
                </c:pt>
                <c:pt idx="2">
                  <c:v>12.678571428571429</c:v>
                </c:pt>
                <c:pt idx="3">
                  <c:v>12.19047619047619</c:v>
                </c:pt>
                <c:pt idx="4">
                  <c:v>10.576923076923077</c:v>
                </c:pt>
                <c:pt idx="5">
                  <c:v>11.285714285714286</c:v>
                </c:pt>
                <c:pt idx="6">
                  <c:v>12.5</c:v>
                </c:pt>
                <c:pt idx="7">
                  <c:v>9.0666666666666664</c:v>
                </c:pt>
                <c:pt idx="8">
                  <c:v>10.375</c:v>
                </c:pt>
                <c:pt idx="9">
                  <c:v>10.4</c:v>
                </c:pt>
                <c:pt idx="10">
                  <c:v>14.5</c:v>
                </c:pt>
                <c:pt idx="1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F3-4ABF-8568-FC2C0717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49981794837442"/>
          <c:y val="0.21250025939973077"/>
          <c:w val="0.20094206925627126"/>
          <c:h val="0.69250084533794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5"/>
  <sheetViews>
    <sheetView zoomScale="84" workbookViewId="0"/>
  </sheetViews>
  <pageMargins left="0.75" right="0.75" top="1" bottom="1" header="0.5" footer="0.5"/>
  <headerFooter alignWithMargins="0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152400</xdr:rowOff>
    </xdr:from>
    <xdr:to>
      <xdr:col>6</xdr:col>
      <xdr:colOff>552450</xdr:colOff>
      <xdr:row>11</xdr:row>
      <xdr:rowOff>133350</xdr:rowOff>
    </xdr:to>
    <xdr:sp macro="" textlink="">
      <xdr:nvSpPr>
        <xdr:cNvPr id="106497" name="Line 1"/>
        <xdr:cNvSpPr>
          <a:spLocks noChangeShapeType="1"/>
        </xdr:cNvSpPr>
      </xdr:nvSpPr>
      <xdr:spPr bwMode="auto">
        <a:xfrm flipH="1">
          <a:off x="3800475" y="2143125"/>
          <a:ext cx="409575" cy="17145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142875</xdr:colOff>
      <xdr:row>17</xdr:row>
      <xdr:rowOff>152400</xdr:rowOff>
    </xdr:from>
    <xdr:to>
      <xdr:col>6</xdr:col>
      <xdr:colOff>552450</xdr:colOff>
      <xdr:row>18</xdr:row>
      <xdr:rowOff>133350</xdr:rowOff>
    </xdr:to>
    <xdr:sp macro="" textlink="">
      <xdr:nvSpPr>
        <xdr:cNvPr id="106498" name="Line 2"/>
        <xdr:cNvSpPr>
          <a:spLocks noChangeShapeType="1"/>
        </xdr:cNvSpPr>
      </xdr:nvSpPr>
      <xdr:spPr bwMode="auto">
        <a:xfrm flipH="1">
          <a:off x="3800475" y="3476625"/>
          <a:ext cx="409575" cy="17145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20</xdr:col>
      <xdr:colOff>266700</xdr:colOff>
      <xdr:row>13</xdr:row>
      <xdr:rowOff>9525</xdr:rowOff>
    </xdr:to>
    <xdr:pic>
      <xdr:nvPicPr>
        <xdr:cNvPr id="716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0550" y="142875"/>
          <a:ext cx="5162550" cy="24765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142875</xdr:rowOff>
    </xdr:from>
    <xdr:to>
      <xdr:col>9</xdr:col>
      <xdr:colOff>47625</xdr:colOff>
      <xdr:row>19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20</xdr:row>
      <xdr:rowOff>0</xdr:rowOff>
    </xdr:from>
    <xdr:to>
      <xdr:col>9</xdr:col>
      <xdr:colOff>9525</xdr:colOff>
      <xdr:row>35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600075</xdr:colOff>
      <xdr:row>37</xdr:row>
      <xdr:rowOff>0</xdr:rowOff>
    </xdr:from>
    <xdr:to>
      <xdr:col>9</xdr:col>
      <xdr:colOff>19050</xdr:colOff>
      <xdr:row>52</xdr:row>
      <xdr:rowOff>9525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55</xdr:row>
      <xdr:rowOff>133350</xdr:rowOff>
    </xdr:from>
    <xdr:to>
      <xdr:col>9</xdr:col>
      <xdr:colOff>28575</xdr:colOff>
      <xdr:row>70</xdr:row>
      <xdr:rowOff>142875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571500</xdr:colOff>
      <xdr:row>72</xdr:row>
      <xdr:rowOff>133350</xdr:rowOff>
    </xdr:from>
    <xdr:to>
      <xdr:col>8</xdr:col>
      <xdr:colOff>600075</xdr:colOff>
      <xdr:row>91</xdr:row>
      <xdr:rowOff>19050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41</xdr:row>
      <xdr:rowOff>47625</xdr:rowOff>
    </xdr:from>
    <xdr:to>
      <xdr:col>5</xdr:col>
      <xdr:colOff>885825</xdr:colOff>
      <xdr:row>43</xdr:row>
      <xdr:rowOff>171450</xdr:rowOff>
    </xdr:to>
    <xdr:sp macro="" textlink="">
      <xdr:nvSpPr>
        <xdr:cNvPr id="67585" name="Line 1"/>
        <xdr:cNvSpPr>
          <a:spLocks noChangeShapeType="1"/>
        </xdr:cNvSpPr>
      </xdr:nvSpPr>
      <xdr:spPr bwMode="auto">
        <a:xfrm>
          <a:off x="3257550" y="8401050"/>
          <a:ext cx="466725" cy="5048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523875</xdr:colOff>
      <xdr:row>41</xdr:row>
      <xdr:rowOff>66675</xdr:rowOff>
    </xdr:from>
    <xdr:to>
      <xdr:col>12</xdr:col>
      <xdr:colOff>523875</xdr:colOff>
      <xdr:row>43</xdr:row>
      <xdr:rowOff>180975</xdr:rowOff>
    </xdr:to>
    <xdr:sp macro="" textlink="">
      <xdr:nvSpPr>
        <xdr:cNvPr id="67586" name="Line 2"/>
        <xdr:cNvSpPr>
          <a:spLocks noChangeShapeType="1"/>
        </xdr:cNvSpPr>
      </xdr:nvSpPr>
      <xdr:spPr bwMode="auto">
        <a:xfrm>
          <a:off x="7686675" y="8420100"/>
          <a:ext cx="0" cy="4953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38100</xdr:rowOff>
    </xdr:from>
    <xdr:to>
      <xdr:col>8</xdr:col>
      <xdr:colOff>219075</xdr:colOff>
      <xdr:row>22</xdr:row>
      <xdr:rowOff>152400</xdr:rowOff>
    </xdr:to>
    <xdr:graphicFrame macro="">
      <xdr:nvGraphicFramePr>
        <xdr:cNvPr id="1075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409575</xdr:colOff>
      <xdr:row>3</xdr:row>
      <xdr:rowOff>38100</xdr:rowOff>
    </xdr:from>
    <xdr:to>
      <xdr:col>18</xdr:col>
      <xdr:colOff>381000</xdr:colOff>
      <xdr:row>22</xdr:row>
      <xdr:rowOff>152400</xdr:rowOff>
    </xdr:to>
    <xdr:graphicFrame macro="">
      <xdr:nvGraphicFramePr>
        <xdr:cNvPr id="107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26</xdr:row>
      <xdr:rowOff>19050</xdr:rowOff>
    </xdr:from>
    <xdr:to>
      <xdr:col>8</xdr:col>
      <xdr:colOff>257175</xdr:colOff>
      <xdr:row>46</xdr:row>
      <xdr:rowOff>19050</xdr:rowOff>
    </xdr:to>
    <xdr:graphicFrame macro="">
      <xdr:nvGraphicFramePr>
        <xdr:cNvPr id="1075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390525</xdr:colOff>
      <xdr:row>26</xdr:row>
      <xdr:rowOff>0</xdr:rowOff>
    </xdr:from>
    <xdr:to>
      <xdr:col>18</xdr:col>
      <xdr:colOff>371475</xdr:colOff>
      <xdr:row>46</xdr:row>
      <xdr:rowOff>66675</xdr:rowOff>
    </xdr:to>
    <xdr:graphicFrame macro="">
      <xdr:nvGraphicFramePr>
        <xdr:cNvPr id="1075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49</xdr:row>
      <xdr:rowOff>57150</xdr:rowOff>
    </xdr:from>
    <xdr:to>
      <xdr:col>8</xdr:col>
      <xdr:colOff>257175</xdr:colOff>
      <xdr:row>69</xdr:row>
      <xdr:rowOff>66675</xdr:rowOff>
    </xdr:to>
    <xdr:graphicFrame macro="">
      <xdr:nvGraphicFramePr>
        <xdr:cNvPr id="1075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409575</xdr:colOff>
      <xdr:row>49</xdr:row>
      <xdr:rowOff>38100</xdr:rowOff>
    </xdr:from>
    <xdr:to>
      <xdr:col>18</xdr:col>
      <xdr:colOff>400050</xdr:colOff>
      <xdr:row>69</xdr:row>
      <xdr:rowOff>47625</xdr:rowOff>
    </xdr:to>
    <xdr:graphicFrame macro="">
      <xdr:nvGraphicFramePr>
        <xdr:cNvPr id="10752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19050</xdr:rowOff>
    </xdr:from>
    <xdr:to>
      <xdr:col>8</xdr:col>
      <xdr:colOff>285750</xdr:colOff>
      <xdr:row>34</xdr:row>
      <xdr:rowOff>9525</xdr:rowOff>
    </xdr:to>
    <xdr:graphicFrame macro="">
      <xdr:nvGraphicFramePr>
        <xdr:cNvPr id="1146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4</xdr:row>
      <xdr:rowOff>19050</xdr:rowOff>
    </xdr:from>
    <xdr:to>
      <xdr:col>16</xdr:col>
      <xdr:colOff>581025</xdr:colOff>
      <xdr:row>34</xdr:row>
      <xdr:rowOff>9525</xdr:rowOff>
    </xdr:to>
    <xdr:graphicFrame macro="">
      <xdr:nvGraphicFramePr>
        <xdr:cNvPr id="1146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31</xdr:row>
      <xdr:rowOff>180975</xdr:rowOff>
    </xdr:from>
    <xdr:to>
      <xdr:col>14</xdr:col>
      <xdr:colOff>485775</xdr:colOff>
      <xdr:row>52</xdr:row>
      <xdr:rowOff>38100</xdr:rowOff>
    </xdr:to>
    <xdr:graphicFrame macro="">
      <xdr:nvGraphicFramePr>
        <xdr:cNvPr id="1157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10</xdr:row>
      <xdr:rowOff>133350</xdr:rowOff>
    </xdr:from>
    <xdr:to>
      <xdr:col>14</xdr:col>
      <xdr:colOff>504825</xdr:colOff>
      <xdr:row>30</xdr:row>
      <xdr:rowOff>180975</xdr:rowOff>
    </xdr:to>
    <xdr:graphicFrame macro="">
      <xdr:nvGraphicFramePr>
        <xdr:cNvPr id="1157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4</xdr:row>
      <xdr:rowOff>0</xdr:rowOff>
    </xdr:from>
    <xdr:to>
      <xdr:col>13</xdr:col>
      <xdr:colOff>209550</xdr:colOff>
      <xdr:row>24</xdr:row>
      <xdr:rowOff>133350</xdr:rowOff>
    </xdr:to>
    <xdr:pic>
      <xdr:nvPicPr>
        <xdr:cNvPr id="118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847725"/>
          <a:ext cx="3952875" cy="39433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0</xdr:colOff>
      <xdr:row>19</xdr:row>
      <xdr:rowOff>9525</xdr:rowOff>
    </xdr:from>
    <xdr:to>
      <xdr:col>6</xdr:col>
      <xdr:colOff>352425</xdr:colOff>
      <xdr:row>33</xdr:row>
      <xdr:rowOff>38100</xdr:rowOff>
    </xdr:to>
    <xdr:graphicFrame macro="">
      <xdr:nvGraphicFramePr>
        <xdr:cNvPr id="1187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Rectangle 1"/>
        <xdr:cNvSpPr/>
      </xdr:nvSpPr>
      <xdr:spPr>
        <a:xfrm>
          <a:off x="1219200" y="1524000"/>
          <a:ext cx="1828800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Get a Job</a:t>
          </a:r>
        </a:p>
      </xdr:txBody>
    </xdr:sp>
    <xdr:clientData/>
  </xdr:twoCellAnchor>
  <xdr:twoCellAnchor>
    <xdr:from>
      <xdr:col>2</xdr:col>
      <xdr:colOff>0</xdr:colOff>
      <xdr:row>1</xdr:row>
      <xdr:rowOff>1</xdr:rowOff>
    </xdr:from>
    <xdr:to>
      <xdr:col>5</xdr:col>
      <xdr:colOff>0</xdr:colOff>
      <xdr:row>6</xdr:row>
      <xdr:rowOff>0</xdr:rowOff>
    </xdr:to>
    <xdr:sp macro="" textlink="">
      <xdr:nvSpPr>
        <xdr:cNvPr id="3" name="Flowchart: Decision 2"/>
        <xdr:cNvSpPr/>
      </xdr:nvSpPr>
      <xdr:spPr>
        <a:xfrm>
          <a:off x="1219200" y="190501"/>
          <a:ext cx="1828800" cy="952499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Need Money?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4" name="Rectangle 3"/>
        <xdr:cNvSpPr/>
      </xdr:nvSpPr>
      <xdr:spPr>
        <a:xfrm>
          <a:off x="1219200" y="2476500"/>
          <a:ext cx="1828800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Work for a Month</a:t>
          </a: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5" name="Rectangle 4"/>
        <xdr:cNvSpPr/>
      </xdr:nvSpPr>
      <xdr:spPr>
        <a:xfrm>
          <a:off x="1219200" y="3429000"/>
          <a:ext cx="1828800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Get a Paycheck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6" name="Flowchart: Decision 5"/>
        <xdr:cNvSpPr/>
      </xdr:nvSpPr>
      <xdr:spPr>
        <a:xfrm>
          <a:off x="1219200" y="4381500"/>
          <a:ext cx="1828800" cy="952500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Still Need Money?</a:t>
          </a: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7" name="Rectangle 6"/>
        <xdr:cNvSpPr/>
      </xdr:nvSpPr>
      <xdr:spPr>
        <a:xfrm>
          <a:off x="3657600" y="4572000"/>
          <a:ext cx="1828800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/>
            <a:t>Retire</a:t>
          </a:r>
        </a:p>
      </xdr:txBody>
    </xdr:sp>
    <xdr:clientData/>
  </xdr:twoCellAnchor>
  <xdr:twoCellAnchor>
    <xdr:from>
      <xdr:col>3</xdr:col>
      <xdr:colOff>304006</xdr:colOff>
      <xdr:row>6</xdr:row>
      <xdr:rowOff>794</xdr:rowOff>
    </xdr:from>
    <xdr:to>
      <xdr:col>3</xdr:col>
      <xdr:colOff>305594</xdr:colOff>
      <xdr:row>8</xdr:row>
      <xdr:rowOff>794</xdr:rowOff>
    </xdr:to>
    <xdr:cxnSp macro="">
      <xdr:nvCxnSpPr>
        <xdr:cNvPr id="8" name="Straight Arrow Connector 7"/>
        <xdr:cNvCxnSpPr>
          <a:stCxn id="3" idx="2"/>
          <a:endCxn id="2" idx="0"/>
        </xdr:cNvCxnSpPr>
      </xdr:nvCxnSpPr>
      <xdr:spPr>
        <a:xfrm rot="5400000">
          <a:off x="1943100" y="1333500"/>
          <a:ext cx="381000" cy="158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25</xdr:row>
      <xdr:rowOff>95250</xdr:rowOff>
    </xdr:from>
    <xdr:to>
      <xdr:col>6</xdr:col>
      <xdr:colOff>0</xdr:colOff>
      <xdr:row>25</xdr:row>
      <xdr:rowOff>96838</xdr:rowOff>
    </xdr:to>
    <xdr:cxnSp macro="">
      <xdr:nvCxnSpPr>
        <xdr:cNvPr id="9" name="Straight Arrow Connector 8"/>
        <xdr:cNvCxnSpPr>
          <a:stCxn id="6" idx="3"/>
          <a:endCxn id="7" idx="1"/>
        </xdr:cNvCxnSpPr>
      </xdr:nvCxnSpPr>
      <xdr:spPr>
        <a:xfrm>
          <a:off x="3048000" y="4857750"/>
          <a:ext cx="609600" cy="158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304006</xdr:colOff>
      <xdr:row>11</xdr:row>
      <xdr:rowOff>794</xdr:rowOff>
    </xdr:from>
    <xdr:to>
      <xdr:col>3</xdr:col>
      <xdr:colOff>305594</xdr:colOff>
      <xdr:row>13</xdr:row>
      <xdr:rowOff>794</xdr:rowOff>
    </xdr:to>
    <xdr:cxnSp macro="">
      <xdr:nvCxnSpPr>
        <xdr:cNvPr id="10" name="Straight Arrow Connector 9"/>
        <xdr:cNvCxnSpPr>
          <a:stCxn id="2" idx="2"/>
          <a:endCxn id="4" idx="0"/>
        </xdr:cNvCxnSpPr>
      </xdr:nvCxnSpPr>
      <xdr:spPr>
        <a:xfrm rot="5400000">
          <a:off x="1943100" y="2286000"/>
          <a:ext cx="381000" cy="158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304006</xdr:colOff>
      <xdr:row>16</xdr:row>
      <xdr:rowOff>794</xdr:rowOff>
    </xdr:from>
    <xdr:to>
      <xdr:col>3</xdr:col>
      <xdr:colOff>305594</xdr:colOff>
      <xdr:row>18</xdr:row>
      <xdr:rowOff>794</xdr:rowOff>
    </xdr:to>
    <xdr:cxnSp macro="">
      <xdr:nvCxnSpPr>
        <xdr:cNvPr id="11" name="Straight Arrow Connector 10"/>
        <xdr:cNvCxnSpPr>
          <a:stCxn id="4" idx="2"/>
          <a:endCxn id="5" idx="0"/>
        </xdr:cNvCxnSpPr>
      </xdr:nvCxnSpPr>
      <xdr:spPr>
        <a:xfrm rot="5400000">
          <a:off x="1943100" y="3238500"/>
          <a:ext cx="381000" cy="158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304006</xdr:colOff>
      <xdr:row>21</xdr:row>
      <xdr:rowOff>794</xdr:rowOff>
    </xdr:from>
    <xdr:to>
      <xdr:col>3</xdr:col>
      <xdr:colOff>305594</xdr:colOff>
      <xdr:row>23</xdr:row>
      <xdr:rowOff>794</xdr:rowOff>
    </xdr:to>
    <xdr:cxnSp macro="">
      <xdr:nvCxnSpPr>
        <xdr:cNvPr id="12" name="Straight Arrow Connector 11"/>
        <xdr:cNvCxnSpPr>
          <a:stCxn id="5" idx="2"/>
          <a:endCxn id="6" idx="0"/>
        </xdr:cNvCxnSpPr>
      </xdr:nvCxnSpPr>
      <xdr:spPr>
        <a:xfrm rot="5400000">
          <a:off x="1943100" y="4191000"/>
          <a:ext cx="381000" cy="158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95251</xdr:rowOff>
    </xdr:from>
    <xdr:to>
      <xdr:col>7</xdr:col>
      <xdr:colOff>304800</xdr:colOff>
      <xdr:row>24</xdr:row>
      <xdr:rowOff>0</xdr:rowOff>
    </xdr:to>
    <xdr:cxnSp macro="">
      <xdr:nvCxnSpPr>
        <xdr:cNvPr id="13" name="Shape 12"/>
        <xdr:cNvCxnSpPr>
          <a:stCxn id="3" idx="3"/>
          <a:endCxn id="7" idx="0"/>
        </xdr:cNvCxnSpPr>
      </xdr:nvCxnSpPr>
      <xdr:spPr>
        <a:xfrm>
          <a:off x="3048000" y="666751"/>
          <a:ext cx="1524000" cy="3905249"/>
        </a:xfrm>
        <a:prstGeom prst="bentConnector2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95250</xdr:rowOff>
    </xdr:from>
    <xdr:to>
      <xdr:col>3</xdr:col>
      <xdr:colOff>304800</xdr:colOff>
      <xdr:row>28</xdr:row>
      <xdr:rowOff>0</xdr:rowOff>
    </xdr:to>
    <xdr:cxnSp macro="">
      <xdr:nvCxnSpPr>
        <xdr:cNvPr id="14" name="Shape 13"/>
        <xdr:cNvCxnSpPr>
          <a:stCxn id="6" idx="2"/>
          <a:endCxn id="4" idx="1"/>
        </xdr:cNvCxnSpPr>
      </xdr:nvCxnSpPr>
      <xdr:spPr>
        <a:xfrm rot="5400000" flipH="1">
          <a:off x="390525" y="3590925"/>
          <a:ext cx="2571750" cy="914400"/>
        </a:xfrm>
        <a:prstGeom prst="bentConnector4">
          <a:avLst>
            <a:gd name="adj1" fmla="val -8889"/>
            <a:gd name="adj2" fmla="val 164583"/>
          </a:avLst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23</xdr:row>
      <xdr:rowOff>171450</xdr:rowOff>
    </xdr:from>
    <xdr:to>
      <xdr:col>5</xdr:col>
      <xdr:colOff>447675</xdr:colOff>
      <xdr:row>25</xdr:row>
      <xdr:rowOff>57150</xdr:rowOff>
    </xdr:to>
    <xdr:sp macro="" textlink="">
      <xdr:nvSpPr>
        <xdr:cNvPr id="15" name="TextBox 14"/>
        <xdr:cNvSpPr txBox="1"/>
      </xdr:nvSpPr>
      <xdr:spPr>
        <a:xfrm>
          <a:off x="3057525" y="4552950"/>
          <a:ext cx="4381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="1" i="1"/>
            <a:t>NO</a:t>
          </a:r>
        </a:p>
      </xdr:txBody>
    </xdr:sp>
    <xdr:clientData/>
  </xdr:twoCellAnchor>
  <xdr:twoCellAnchor>
    <xdr:from>
      <xdr:col>5</xdr:col>
      <xdr:colOff>114300</xdr:colOff>
      <xdr:row>1</xdr:row>
      <xdr:rowOff>180975</xdr:rowOff>
    </xdr:from>
    <xdr:to>
      <xdr:col>5</xdr:col>
      <xdr:colOff>552450</xdr:colOff>
      <xdr:row>3</xdr:row>
      <xdr:rowOff>66675</xdr:rowOff>
    </xdr:to>
    <xdr:sp macro="" textlink="">
      <xdr:nvSpPr>
        <xdr:cNvPr id="16" name="TextBox 15"/>
        <xdr:cNvSpPr txBox="1"/>
      </xdr:nvSpPr>
      <xdr:spPr>
        <a:xfrm>
          <a:off x="3162300" y="371475"/>
          <a:ext cx="4381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="1" i="1"/>
            <a:t>NO</a:t>
          </a:r>
        </a:p>
      </xdr:txBody>
    </xdr:sp>
    <xdr:clientData/>
  </xdr:twoCellAnchor>
  <xdr:twoCellAnchor>
    <xdr:from>
      <xdr:col>2</xdr:col>
      <xdr:colOff>304800</xdr:colOff>
      <xdr:row>5</xdr:row>
      <xdr:rowOff>180975</xdr:rowOff>
    </xdr:from>
    <xdr:to>
      <xdr:col>3</xdr:col>
      <xdr:colOff>133350</xdr:colOff>
      <xdr:row>7</xdr:row>
      <xdr:rowOff>66675</xdr:rowOff>
    </xdr:to>
    <xdr:sp macro="" textlink="">
      <xdr:nvSpPr>
        <xdr:cNvPr id="17" name="TextBox 16"/>
        <xdr:cNvSpPr txBox="1"/>
      </xdr:nvSpPr>
      <xdr:spPr>
        <a:xfrm>
          <a:off x="1524000" y="1133475"/>
          <a:ext cx="4381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="1" i="1"/>
            <a:t>Yes</a:t>
          </a:r>
        </a:p>
      </xdr:txBody>
    </xdr:sp>
    <xdr:clientData/>
  </xdr:twoCellAnchor>
  <xdr:twoCellAnchor>
    <xdr:from>
      <xdr:col>2</xdr:col>
      <xdr:colOff>85725</xdr:colOff>
      <xdr:row>27</xdr:row>
      <xdr:rowOff>114300</xdr:rowOff>
    </xdr:from>
    <xdr:to>
      <xdr:col>2</xdr:col>
      <xdr:colOff>523875</xdr:colOff>
      <xdr:row>29</xdr:row>
      <xdr:rowOff>0</xdr:rowOff>
    </xdr:to>
    <xdr:sp macro="" textlink="">
      <xdr:nvSpPr>
        <xdr:cNvPr id="18" name="TextBox 17"/>
        <xdr:cNvSpPr txBox="1"/>
      </xdr:nvSpPr>
      <xdr:spPr>
        <a:xfrm>
          <a:off x="1304925" y="5257800"/>
          <a:ext cx="4381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="1" i="1"/>
            <a:t>Yes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17</xdr:row>
      <xdr:rowOff>142875</xdr:rowOff>
    </xdr:from>
    <xdr:to>
      <xdr:col>15</xdr:col>
      <xdr:colOff>457200</xdr:colOff>
      <xdr:row>35</xdr:row>
      <xdr:rowOff>76200</xdr:rowOff>
    </xdr:to>
    <xdr:pic>
      <xdr:nvPicPr>
        <xdr:cNvPr id="102401" name="Picture 1" descr="DateAndTimeBasics?action=download&amp;upname=1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75" y="3629025"/>
          <a:ext cx="4810125" cy="36861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323850</xdr:colOff>
      <xdr:row>30</xdr:row>
      <xdr:rowOff>19050</xdr:rowOff>
    </xdr:from>
    <xdr:to>
      <xdr:col>11</xdr:col>
      <xdr:colOff>1504950</xdr:colOff>
      <xdr:row>31</xdr:row>
      <xdr:rowOff>104775</xdr:rowOff>
    </xdr:to>
    <xdr:sp macro="" textlink="">
      <xdr:nvSpPr>
        <xdr:cNvPr id="102402" name="Oval 2"/>
        <xdr:cNvSpPr>
          <a:spLocks noChangeArrowheads="1"/>
        </xdr:cNvSpPr>
      </xdr:nvSpPr>
      <xdr:spPr bwMode="auto">
        <a:xfrm>
          <a:off x="6229350" y="6305550"/>
          <a:ext cx="2400300" cy="276225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38100</xdr:colOff>
      <xdr:row>36</xdr:row>
      <xdr:rowOff>161925</xdr:rowOff>
    </xdr:from>
    <xdr:to>
      <xdr:col>18</xdr:col>
      <xdr:colOff>200025</xdr:colOff>
      <xdr:row>55</xdr:row>
      <xdr:rowOff>66675</xdr:rowOff>
    </xdr:to>
    <xdr:pic>
      <xdr:nvPicPr>
        <xdr:cNvPr id="1024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0" y="7591425"/>
          <a:ext cx="3819525" cy="36861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0</xdr:rowOff>
    </xdr:from>
    <xdr:to>
      <xdr:col>3</xdr:col>
      <xdr:colOff>133350</xdr:colOff>
      <xdr:row>9</xdr:row>
      <xdr:rowOff>0</xdr:rowOff>
    </xdr:to>
    <xdr:sp macro="" textlink="">
      <xdr:nvSpPr>
        <xdr:cNvPr id="103425" name="Line 1"/>
        <xdr:cNvSpPr>
          <a:spLocks noChangeShapeType="1"/>
        </xdr:cNvSpPr>
      </xdr:nvSpPr>
      <xdr:spPr bwMode="auto">
        <a:xfrm flipV="1">
          <a:off x="1638300" y="1771650"/>
          <a:ext cx="314325" cy="19050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285750</xdr:colOff>
      <xdr:row>9</xdr:row>
      <xdr:rowOff>9525</xdr:rowOff>
    </xdr:to>
    <xdr:sp macro="" textlink="">
      <xdr:nvSpPr>
        <xdr:cNvPr id="103426" name="Line 2"/>
        <xdr:cNvSpPr>
          <a:spLocks noChangeShapeType="1"/>
        </xdr:cNvSpPr>
      </xdr:nvSpPr>
      <xdr:spPr bwMode="auto">
        <a:xfrm flipH="1" flipV="1">
          <a:off x="1285875" y="1771650"/>
          <a:ext cx="209550" cy="20002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180975</xdr:colOff>
      <xdr:row>5</xdr:row>
      <xdr:rowOff>171450</xdr:rowOff>
    </xdr:from>
    <xdr:to>
      <xdr:col>1</xdr:col>
      <xdr:colOff>180975</xdr:colOff>
      <xdr:row>7</xdr:row>
      <xdr:rowOff>38100</xdr:rowOff>
    </xdr:to>
    <xdr:sp macro="" textlink="">
      <xdr:nvSpPr>
        <xdr:cNvPr id="103427" name="Line 3"/>
        <xdr:cNvSpPr>
          <a:spLocks noChangeShapeType="1"/>
        </xdr:cNvSpPr>
      </xdr:nvSpPr>
      <xdr:spPr bwMode="auto">
        <a:xfrm flipH="1">
          <a:off x="781050" y="1371600"/>
          <a:ext cx="0" cy="24765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161925</xdr:colOff>
      <xdr:row>5</xdr:row>
      <xdr:rowOff>171450</xdr:rowOff>
    </xdr:from>
    <xdr:to>
      <xdr:col>3</xdr:col>
      <xdr:colOff>161925</xdr:colOff>
      <xdr:row>7</xdr:row>
      <xdr:rowOff>66675</xdr:rowOff>
    </xdr:to>
    <xdr:sp macro="" textlink="">
      <xdr:nvSpPr>
        <xdr:cNvPr id="103428" name="Line 4"/>
        <xdr:cNvSpPr>
          <a:spLocks noChangeShapeType="1"/>
        </xdr:cNvSpPr>
      </xdr:nvSpPr>
      <xdr:spPr bwMode="auto">
        <a:xfrm flipH="1">
          <a:off x="1981200" y="1371600"/>
          <a:ext cx="0" cy="27622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180975</xdr:colOff>
      <xdr:row>33</xdr:row>
      <xdr:rowOff>0</xdr:rowOff>
    </xdr:from>
    <xdr:to>
      <xdr:col>2</xdr:col>
      <xdr:colOff>180975</xdr:colOff>
      <xdr:row>33</xdr:row>
      <xdr:rowOff>0</xdr:rowOff>
    </xdr:to>
    <xdr:sp macro="" textlink="">
      <xdr:nvSpPr>
        <xdr:cNvPr id="103431" name="Line 7"/>
        <xdr:cNvSpPr>
          <a:spLocks noChangeShapeType="1"/>
        </xdr:cNvSpPr>
      </xdr:nvSpPr>
      <xdr:spPr bwMode="auto">
        <a:xfrm flipH="1">
          <a:off x="1390650" y="6534150"/>
          <a:ext cx="0" cy="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161925</xdr:colOff>
      <xdr:row>33</xdr:row>
      <xdr:rowOff>0</xdr:rowOff>
    </xdr:from>
    <xdr:to>
      <xdr:col>4</xdr:col>
      <xdr:colOff>161925</xdr:colOff>
      <xdr:row>33</xdr:row>
      <xdr:rowOff>0</xdr:rowOff>
    </xdr:to>
    <xdr:sp macro="" textlink="">
      <xdr:nvSpPr>
        <xdr:cNvPr id="103432" name="Line 8"/>
        <xdr:cNvSpPr>
          <a:spLocks noChangeShapeType="1"/>
        </xdr:cNvSpPr>
      </xdr:nvSpPr>
      <xdr:spPr bwMode="auto">
        <a:xfrm flipH="1">
          <a:off x="2590800" y="6534150"/>
          <a:ext cx="0" cy="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7</xdr:col>
      <xdr:colOff>514350</xdr:colOff>
      <xdr:row>4</xdr:row>
      <xdr:rowOff>104775</xdr:rowOff>
    </xdr:from>
    <xdr:to>
      <xdr:col>14</xdr:col>
      <xdr:colOff>66675</xdr:colOff>
      <xdr:row>20</xdr:row>
      <xdr:rowOff>142875</xdr:rowOff>
    </xdr:to>
    <xdr:pic>
      <xdr:nvPicPr>
        <xdr:cNvPr id="1034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952500"/>
          <a:ext cx="3819525" cy="32480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6</xdr:col>
      <xdr:colOff>190500</xdr:colOff>
      <xdr:row>17</xdr:row>
      <xdr:rowOff>114300</xdr:rowOff>
    </xdr:from>
    <xdr:to>
      <xdr:col>7</xdr:col>
      <xdr:colOff>419100</xdr:colOff>
      <xdr:row>17</xdr:row>
      <xdr:rowOff>114300</xdr:rowOff>
    </xdr:to>
    <xdr:sp macro="" textlink="">
      <xdr:nvSpPr>
        <xdr:cNvPr id="103434" name="Line 10"/>
        <xdr:cNvSpPr>
          <a:spLocks noChangeShapeType="1"/>
        </xdr:cNvSpPr>
      </xdr:nvSpPr>
      <xdr:spPr bwMode="auto">
        <a:xfrm>
          <a:off x="3838575" y="3600450"/>
          <a:ext cx="838200" cy="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28</xdr:row>
      <xdr:rowOff>19050</xdr:rowOff>
    </xdr:from>
    <xdr:to>
      <xdr:col>3</xdr:col>
      <xdr:colOff>428625</xdr:colOff>
      <xdr:row>30</xdr:row>
      <xdr:rowOff>9525</xdr:rowOff>
    </xdr:to>
    <xdr:sp macro="" textlink="">
      <xdr:nvSpPr>
        <xdr:cNvPr id="104449" name="Line 1"/>
        <xdr:cNvSpPr>
          <a:spLocks noChangeShapeType="1"/>
        </xdr:cNvSpPr>
      </xdr:nvSpPr>
      <xdr:spPr bwMode="auto">
        <a:xfrm flipV="1">
          <a:off x="2019300" y="5600700"/>
          <a:ext cx="0" cy="37147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762000</xdr:colOff>
      <xdr:row>27</xdr:row>
      <xdr:rowOff>180975</xdr:rowOff>
    </xdr:from>
    <xdr:to>
      <xdr:col>7</xdr:col>
      <xdr:colOff>762000</xdr:colOff>
      <xdr:row>29</xdr:row>
      <xdr:rowOff>171450</xdr:rowOff>
    </xdr:to>
    <xdr:sp macro="" textlink="">
      <xdr:nvSpPr>
        <xdr:cNvPr id="104450" name="Line 2"/>
        <xdr:cNvSpPr>
          <a:spLocks noChangeShapeType="1"/>
        </xdr:cNvSpPr>
      </xdr:nvSpPr>
      <xdr:spPr bwMode="auto">
        <a:xfrm flipV="1">
          <a:off x="6048375" y="5572125"/>
          <a:ext cx="0" cy="37147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2</xdr:row>
      <xdr:rowOff>19050</xdr:rowOff>
    </xdr:from>
    <xdr:to>
      <xdr:col>2</xdr:col>
      <xdr:colOff>495300</xdr:colOff>
      <xdr:row>3</xdr:row>
      <xdr:rowOff>57150</xdr:rowOff>
    </xdr:to>
    <xdr:sp macro="" textlink="">
      <xdr:nvSpPr>
        <xdr:cNvPr id="31745" name="Line 1"/>
        <xdr:cNvSpPr>
          <a:spLocks noChangeShapeType="1"/>
        </xdr:cNvSpPr>
      </xdr:nvSpPr>
      <xdr:spPr bwMode="auto">
        <a:xfrm>
          <a:off x="1952625" y="447675"/>
          <a:ext cx="0" cy="276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485775</xdr:colOff>
      <xdr:row>2</xdr:row>
      <xdr:rowOff>9525</xdr:rowOff>
    </xdr:from>
    <xdr:to>
      <xdr:col>3</xdr:col>
      <xdr:colOff>485775</xdr:colOff>
      <xdr:row>4</xdr:row>
      <xdr:rowOff>9525</xdr:rowOff>
    </xdr:to>
    <xdr:sp macro="" textlink="">
      <xdr:nvSpPr>
        <xdr:cNvPr id="31746" name="Line 2"/>
        <xdr:cNvSpPr>
          <a:spLocks noChangeShapeType="1"/>
        </xdr:cNvSpPr>
      </xdr:nvSpPr>
      <xdr:spPr bwMode="auto">
        <a:xfrm>
          <a:off x="2790825" y="438150"/>
          <a:ext cx="0" cy="476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361950</xdr:colOff>
      <xdr:row>2</xdr:row>
      <xdr:rowOff>9525</xdr:rowOff>
    </xdr:from>
    <xdr:to>
      <xdr:col>4</xdr:col>
      <xdr:colOff>361950</xdr:colOff>
      <xdr:row>5</xdr:row>
      <xdr:rowOff>57150</xdr:rowOff>
    </xdr:to>
    <xdr:sp macro="" textlink="">
      <xdr:nvSpPr>
        <xdr:cNvPr id="31747" name="Line 3"/>
        <xdr:cNvSpPr>
          <a:spLocks noChangeShapeType="1"/>
        </xdr:cNvSpPr>
      </xdr:nvSpPr>
      <xdr:spPr bwMode="auto">
        <a:xfrm>
          <a:off x="3514725" y="438150"/>
          <a:ext cx="0" cy="7620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47625</xdr:rowOff>
    </xdr:from>
    <xdr:to>
      <xdr:col>6</xdr:col>
      <xdr:colOff>95250</xdr:colOff>
      <xdr:row>6</xdr:row>
      <xdr:rowOff>9525</xdr:rowOff>
    </xdr:to>
    <xdr:sp macro="" textlink="">
      <xdr:nvSpPr>
        <xdr:cNvPr id="31748" name="Line 4"/>
        <xdr:cNvSpPr>
          <a:spLocks noChangeShapeType="1"/>
        </xdr:cNvSpPr>
      </xdr:nvSpPr>
      <xdr:spPr bwMode="auto">
        <a:xfrm>
          <a:off x="4943475" y="476250"/>
          <a:ext cx="0" cy="914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790575</xdr:colOff>
      <xdr:row>21</xdr:row>
      <xdr:rowOff>19050</xdr:rowOff>
    </xdr:from>
    <xdr:to>
      <xdr:col>4</xdr:col>
      <xdr:colOff>152400</xdr:colOff>
      <xdr:row>22</xdr:row>
      <xdr:rowOff>152400</xdr:rowOff>
    </xdr:to>
    <xdr:sp macro="" textlink="">
      <xdr:nvSpPr>
        <xdr:cNvPr id="31749" name="Line 5"/>
        <xdr:cNvSpPr>
          <a:spLocks noChangeShapeType="1"/>
        </xdr:cNvSpPr>
      </xdr:nvSpPr>
      <xdr:spPr bwMode="auto">
        <a:xfrm flipH="1" flipV="1">
          <a:off x="3095625" y="4410075"/>
          <a:ext cx="2095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600075</xdr:colOff>
      <xdr:row>21</xdr:row>
      <xdr:rowOff>0</xdr:rowOff>
    </xdr:from>
    <xdr:to>
      <xdr:col>4</xdr:col>
      <xdr:colOff>133350</xdr:colOff>
      <xdr:row>22</xdr:row>
      <xdr:rowOff>142875</xdr:rowOff>
    </xdr:to>
    <xdr:sp macro="" textlink="">
      <xdr:nvSpPr>
        <xdr:cNvPr id="31750" name="Line 6"/>
        <xdr:cNvSpPr>
          <a:spLocks noChangeShapeType="1"/>
        </xdr:cNvSpPr>
      </xdr:nvSpPr>
      <xdr:spPr bwMode="auto">
        <a:xfrm flipH="1" flipV="1">
          <a:off x="2905125" y="4391025"/>
          <a:ext cx="3810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209550</xdr:colOff>
      <xdr:row>21</xdr:row>
      <xdr:rowOff>9525</xdr:rowOff>
    </xdr:from>
    <xdr:to>
      <xdr:col>2</xdr:col>
      <xdr:colOff>790575</xdr:colOff>
      <xdr:row>24</xdr:row>
      <xdr:rowOff>38100</xdr:rowOff>
    </xdr:to>
    <xdr:sp macro="" textlink="">
      <xdr:nvSpPr>
        <xdr:cNvPr id="31751" name="Line 7"/>
        <xdr:cNvSpPr>
          <a:spLocks noChangeShapeType="1"/>
        </xdr:cNvSpPr>
      </xdr:nvSpPr>
      <xdr:spPr bwMode="auto">
        <a:xfrm flipV="1">
          <a:off x="1666875" y="4400550"/>
          <a:ext cx="5810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11</xdr:row>
      <xdr:rowOff>104775</xdr:rowOff>
    </xdr:from>
    <xdr:to>
      <xdr:col>6</xdr:col>
      <xdr:colOff>476250</xdr:colOff>
      <xdr:row>11</xdr:row>
      <xdr:rowOff>171450</xdr:rowOff>
    </xdr:to>
    <xdr:sp macro="" textlink="">
      <xdr:nvSpPr>
        <xdr:cNvPr id="35845" name="Line 5"/>
        <xdr:cNvSpPr>
          <a:spLocks noChangeShapeType="1"/>
        </xdr:cNvSpPr>
      </xdr:nvSpPr>
      <xdr:spPr bwMode="auto">
        <a:xfrm>
          <a:off x="2476500" y="2200275"/>
          <a:ext cx="1762125" cy="666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19050</xdr:colOff>
      <xdr:row>13</xdr:row>
      <xdr:rowOff>104775</xdr:rowOff>
    </xdr:from>
    <xdr:to>
      <xdr:col>0</xdr:col>
      <xdr:colOff>600075</xdr:colOff>
      <xdr:row>15</xdr:row>
      <xdr:rowOff>171450</xdr:rowOff>
    </xdr:to>
    <xdr:sp macro="" textlink="">
      <xdr:nvSpPr>
        <xdr:cNvPr id="35846" name="Line 6"/>
        <xdr:cNvSpPr>
          <a:spLocks noChangeShapeType="1"/>
        </xdr:cNvSpPr>
      </xdr:nvSpPr>
      <xdr:spPr bwMode="auto">
        <a:xfrm flipH="1">
          <a:off x="19050" y="2581275"/>
          <a:ext cx="581025" cy="4476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123825</xdr:colOff>
      <xdr:row>12</xdr:row>
      <xdr:rowOff>104775</xdr:rowOff>
    </xdr:from>
    <xdr:to>
      <xdr:col>0</xdr:col>
      <xdr:colOff>590550</xdr:colOff>
      <xdr:row>13</xdr:row>
      <xdr:rowOff>57150</xdr:rowOff>
    </xdr:to>
    <xdr:sp macro="" textlink="">
      <xdr:nvSpPr>
        <xdr:cNvPr id="35847" name="Line 7"/>
        <xdr:cNvSpPr>
          <a:spLocks noChangeShapeType="1"/>
        </xdr:cNvSpPr>
      </xdr:nvSpPr>
      <xdr:spPr bwMode="auto">
        <a:xfrm flipH="1">
          <a:off x="123825" y="2390775"/>
          <a:ext cx="466725" cy="1428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5</xdr:row>
      <xdr:rowOff>152400</xdr:rowOff>
    </xdr:from>
    <xdr:to>
      <xdr:col>11</xdr:col>
      <xdr:colOff>0</xdr:colOff>
      <xdr:row>23</xdr:row>
      <xdr:rowOff>76200</xdr:rowOff>
    </xdr:to>
    <xdr:pic>
      <xdr:nvPicPr>
        <xdr:cNvPr id="1003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1190625"/>
          <a:ext cx="5172075" cy="33528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314325</xdr:colOff>
      <xdr:row>8</xdr:row>
      <xdr:rowOff>85725</xdr:rowOff>
    </xdr:from>
    <xdr:to>
      <xdr:col>12</xdr:col>
      <xdr:colOff>314325</xdr:colOff>
      <xdr:row>10</xdr:row>
      <xdr:rowOff>104775</xdr:rowOff>
    </xdr:to>
    <xdr:sp macro="" textlink="">
      <xdr:nvSpPr>
        <xdr:cNvPr id="100355" name="Line 3"/>
        <xdr:cNvSpPr>
          <a:spLocks noChangeShapeType="1"/>
        </xdr:cNvSpPr>
      </xdr:nvSpPr>
      <xdr:spPr bwMode="auto">
        <a:xfrm flipV="1">
          <a:off x="6410325" y="1695450"/>
          <a:ext cx="12192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12</xdr:col>
      <xdr:colOff>352425</xdr:colOff>
      <xdr:row>7</xdr:row>
      <xdr:rowOff>152400</xdr:rowOff>
    </xdr:from>
    <xdr:to>
      <xdr:col>14</xdr:col>
      <xdr:colOff>295275</xdr:colOff>
      <xdr:row>12</xdr:row>
      <xdr:rowOff>104775</xdr:rowOff>
    </xdr:to>
    <xdr:sp macro="" textlink="">
      <xdr:nvSpPr>
        <xdr:cNvPr id="100356" name="Text Box 4"/>
        <xdr:cNvSpPr txBox="1">
          <a:spLocks noChangeArrowheads="1"/>
        </xdr:cNvSpPr>
      </xdr:nvSpPr>
      <xdr:spPr bwMode="auto">
        <a:xfrm>
          <a:off x="7667625" y="1571625"/>
          <a:ext cx="11620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Click here to select the format of the font, border, and patterns</a:t>
          </a:r>
        </a:p>
      </xdr:txBody>
    </xdr:sp>
    <xdr:clientData/>
  </xdr:twoCellAnchor>
  <xdr:twoCellAnchor>
    <xdr:from>
      <xdr:col>7</xdr:col>
      <xdr:colOff>514350</xdr:colOff>
      <xdr:row>6</xdr:row>
      <xdr:rowOff>0</xdr:rowOff>
    </xdr:from>
    <xdr:to>
      <xdr:col>11</xdr:col>
      <xdr:colOff>295275</xdr:colOff>
      <xdr:row>8</xdr:row>
      <xdr:rowOff>123825</xdr:rowOff>
    </xdr:to>
    <xdr:sp macro="" textlink="">
      <xdr:nvSpPr>
        <xdr:cNvPr id="100357" name="Line 5"/>
        <xdr:cNvSpPr>
          <a:spLocks noChangeShapeType="1"/>
        </xdr:cNvSpPr>
      </xdr:nvSpPr>
      <xdr:spPr bwMode="auto">
        <a:xfrm flipV="1">
          <a:off x="4781550" y="1228725"/>
          <a:ext cx="22193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11</xdr:col>
      <xdr:colOff>342900</xdr:colOff>
      <xdr:row>4</xdr:row>
      <xdr:rowOff>9525</xdr:rowOff>
    </xdr:from>
    <xdr:to>
      <xdr:col>13</xdr:col>
      <xdr:colOff>409575</xdr:colOff>
      <xdr:row>7</xdr:row>
      <xdr:rowOff>47625</xdr:rowOff>
    </xdr:to>
    <xdr:sp macro="" textlink="">
      <xdr:nvSpPr>
        <xdr:cNvPr id="100358" name="Text Box 6"/>
        <xdr:cNvSpPr txBox="1">
          <a:spLocks noChangeArrowheads="1"/>
        </xdr:cNvSpPr>
      </xdr:nvSpPr>
      <xdr:spPr bwMode="auto">
        <a:xfrm>
          <a:off x="7048500" y="857250"/>
          <a:ext cx="12858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Condition 1 is met if the value of the cell is between 1 and 3. </a:t>
          </a:r>
        </a:p>
      </xdr:txBody>
    </xdr:sp>
    <xdr:clientData/>
  </xdr:twoCellAnchor>
  <xdr:twoCellAnchor>
    <xdr:from>
      <xdr:col>9</xdr:col>
      <xdr:colOff>476250</xdr:colOff>
      <xdr:row>16</xdr:row>
      <xdr:rowOff>9525</xdr:rowOff>
    </xdr:from>
    <xdr:to>
      <xdr:col>11</xdr:col>
      <xdr:colOff>476250</xdr:colOff>
      <xdr:row>18</xdr:row>
      <xdr:rowOff>19050</xdr:rowOff>
    </xdr:to>
    <xdr:sp macro="" textlink="">
      <xdr:nvSpPr>
        <xdr:cNvPr id="100360" name="Line 8"/>
        <xdr:cNvSpPr>
          <a:spLocks noChangeShapeType="1"/>
        </xdr:cNvSpPr>
      </xdr:nvSpPr>
      <xdr:spPr bwMode="auto">
        <a:xfrm flipV="1">
          <a:off x="5962650" y="3143250"/>
          <a:ext cx="12192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11</xdr:col>
      <xdr:colOff>561975</xdr:colOff>
      <xdr:row>15</xdr:row>
      <xdr:rowOff>85725</xdr:rowOff>
    </xdr:from>
    <xdr:to>
      <xdr:col>14</xdr:col>
      <xdr:colOff>333375</xdr:colOff>
      <xdr:row>20</xdr:row>
      <xdr:rowOff>38100</xdr:rowOff>
    </xdr:to>
    <xdr:sp macro="" textlink="">
      <xdr:nvSpPr>
        <xdr:cNvPr id="100361" name="Text Box 9"/>
        <xdr:cNvSpPr txBox="1">
          <a:spLocks noChangeArrowheads="1"/>
        </xdr:cNvSpPr>
      </xdr:nvSpPr>
      <xdr:spPr bwMode="auto">
        <a:xfrm>
          <a:off x="7267575" y="3028950"/>
          <a:ext cx="1600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Formulas allow you to use absolute or relative references to determine whether the condition is met</a:t>
          </a:r>
        </a:p>
      </xdr:txBody>
    </xdr:sp>
    <xdr:clientData/>
  </xdr:twoCellAnchor>
  <xdr:twoCellAnchor>
    <xdr:from>
      <xdr:col>1</xdr:col>
      <xdr:colOff>390525</xdr:colOff>
      <xdr:row>13</xdr:row>
      <xdr:rowOff>104775</xdr:rowOff>
    </xdr:from>
    <xdr:to>
      <xdr:col>2</xdr:col>
      <xdr:colOff>390525</xdr:colOff>
      <xdr:row>17</xdr:row>
      <xdr:rowOff>38100</xdr:rowOff>
    </xdr:to>
    <xdr:sp macro="" textlink="">
      <xdr:nvSpPr>
        <xdr:cNvPr id="100362" name="Line 10"/>
        <xdr:cNvSpPr>
          <a:spLocks noChangeShapeType="1"/>
        </xdr:cNvSpPr>
      </xdr:nvSpPr>
      <xdr:spPr bwMode="auto">
        <a:xfrm flipH="1" flipV="1">
          <a:off x="1000125" y="2667000"/>
          <a:ext cx="60960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0</xdr:col>
      <xdr:colOff>114300</xdr:colOff>
      <xdr:row>8</xdr:row>
      <xdr:rowOff>152400</xdr:rowOff>
    </xdr:from>
    <xdr:to>
      <xdr:col>2</xdr:col>
      <xdr:colOff>200025</xdr:colOff>
      <xdr:row>14</xdr:row>
      <xdr:rowOff>38100</xdr:rowOff>
    </xdr:to>
    <xdr:sp macro="" textlink="">
      <xdr:nvSpPr>
        <xdr:cNvPr id="100363" name="Text Box 11"/>
        <xdr:cNvSpPr txBox="1">
          <a:spLocks noChangeArrowheads="1"/>
        </xdr:cNvSpPr>
      </xdr:nvSpPr>
      <xdr:spPr bwMode="auto">
        <a:xfrm>
          <a:off x="114300" y="1762125"/>
          <a:ext cx="13049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Only up to 3 conditions can be defined. The first condition takes precedence over the second, etc.</a:t>
          </a:r>
        </a:p>
      </xdr:txBody>
    </xdr:sp>
    <xdr:clientData/>
  </xdr:twoCellAnchor>
  <xdr:twoCellAnchor>
    <xdr:from>
      <xdr:col>6</xdr:col>
      <xdr:colOff>352425</xdr:colOff>
      <xdr:row>23</xdr:row>
      <xdr:rowOff>114300</xdr:rowOff>
    </xdr:from>
    <xdr:to>
      <xdr:col>8</xdr:col>
      <xdr:colOff>38100</xdr:colOff>
      <xdr:row>25</xdr:row>
      <xdr:rowOff>114300</xdr:rowOff>
    </xdr:to>
    <xdr:sp macro="" textlink="">
      <xdr:nvSpPr>
        <xdr:cNvPr id="100364" name="Line 12"/>
        <xdr:cNvSpPr>
          <a:spLocks noChangeShapeType="1"/>
        </xdr:cNvSpPr>
      </xdr:nvSpPr>
      <xdr:spPr bwMode="auto">
        <a:xfrm>
          <a:off x="4010025" y="4581525"/>
          <a:ext cx="9048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8</xdr:col>
      <xdr:colOff>95250</xdr:colOff>
      <xdr:row>24</xdr:row>
      <xdr:rowOff>133350</xdr:rowOff>
    </xdr:from>
    <xdr:to>
      <xdr:col>10</xdr:col>
      <xdr:colOff>476250</xdr:colOff>
      <xdr:row>26</xdr:row>
      <xdr:rowOff>171450</xdr:rowOff>
    </xdr:to>
    <xdr:sp macro="" textlink="">
      <xdr:nvSpPr>
        <xdr:cNvPr id="100365" name="Text Box 13"/>
        <xdr:cNvSpPr txBox="1">
          <a:spLocks noChangeArrowheads="1"/>
        </xdr:cNvSpPr>
      </xdr:nvSpPr>
      <xdr:spPr bwMode="auto">
        <a:xfrm>
          <a:off x="4972050" y="4791075"/>
          <a:ext cx="1600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Use "Add" to create new conditions</a:t>
          </a:r>
        </a:p>
      </xdr:txBody>
    </xdr:sp>
    <xdr:clientData/>
  </xdr:twoCellAnchor>
  <xdr:twoCellAnchor editAs="oneCell">
    <xdr:from>
      <xdr:col>13</xdr:col>
      <xdr:colOff>114300</xdr:colOff>
      <xdr:row>2</xdr:row>
      <xdr:rowOff>38100</xdr:rowOff>
    </xdr:from>
    <xdr:to>
      <xdr:col>13</xdr:col>
      <xdr:colOff>361950</xdr:colOff>
      <xdr:row>3</xdr:row>
      <xdr:rowOff>66675</xdr:rowOff>
    </xdr:to>
    <xdr:pic>
      <xdr:nvPicPr>
        <xdr:cNvPr id="10036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9100" y="504825"/>
          <a:ext cx="247650" cy="219075"/>
        </a:xfrm>
        <a:prstGeom prst="rect">
          <a:avLst/>
        </a:prstGeom>
        <a:noFill/>
        <a:ln w="1">
          <a:solidFill>
            <a:srgbClr val="0000FF"/>
          </a:solidFill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600075</xdr:colOff>
      <xdr:row>19</xdr:row>
      <xdr:rowOff>123825</xdr:rowOff>
    </xdr:from>
    <xdr:to>
      <xdr:col>5</xdr:col>
      <xdr:colOff>266700</xdr:colOff>
      <xdr:row>21</xdr:row>
      <xdr:rowOff>152400</xdr:rowOff>
    </xdr:to>
    <xdr:sp macro="" textlink="">
      <xdr:nvSpPr>
        <xdr:cNvPr id="100367" name="Line 15"/>
        <xdr:cNvSpPr>
          <a:spLocks noChangeShapeType="1"/>
        </xdr:cNvSpPr>
      </xdr:nvSpPr>
      <xdr:spPr bwMode="auto">
        <a:xfrm flipH="1">
          <a:off x="1209675" y="3829050"/>
          <a:ext cx="21050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57150</xdr:rowOff>
    </xdr:from>
    <xdr:to>
      <xdr:col>2</xdr:col>
      <xdr:colOff>133350</xdr:colOff>
      <xdr:row>22</xdr:row>
      <xdr:rowOff>66675</xdr:rowOff>
    </xdr:to>
    <xdr:sp macro="" textlink="">
      <xdr:nvSpPr>
        <xdr:cNvPr id="100368" name="Text Box 16"/>
        <xdr:cNvSpPr txBox="1">
          <a:spLocks noChangeArrowheads="1"/>
        </xdr:cNvSpPr>
      </xdr:nvSpPr>
      <xdr:spPr bwMode="auto">
        <a:xfrm>
          <a:off x="47625" y="3762375"/>
          <a:ext cx="1304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Gill Sans MT"/>
            </a:rPr>
            <a:t>This box previews the format of the cell when the condition is met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19050</xdr:rowOff>
    </xdr:from>
    <xdr:to>
      <xdr:col>14</xdr:col>
      <xdr:colOff>304800</xdr:colOff>
      <xdr:row>12</xdr:row>
      <xdr:rowOff>123825</xdr:rowOff>
    </xdr:to>
    <xdr:pic>
      <xdr:nvPicPr>
        <xdr:cNvPr id="90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866775"/>
          <a:ext cx="5181600" cy="16287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9525</xdr:rowOff>
    </xdr:from>
    <xdr:to>
      <xdr:col>15</xdr:col>
      <xdr:colOff>581025</xdr:colOff>
      <xdr:row>8</xdr:row>
      <xdr:rowOff>38100</xdr:rowOff>
    </xdr:to>
    <xdr:pic>
      <xdr:nvPicPr>
        <xdr:cNvPr id="727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9525"/>
          <a:ext cx="5181600" cy="16383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ACHGE~1/LOCALS~1/Temp/Excel%20Tips%20from%20Chris%20G%20(%23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Examp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2"/>
      <sheetName val="Did you know"/>
      <sheetName val="Fixing Annoyances Full Menus"/>
      <sheetName val="Fixing Annoyances PT Formulas"/>
      <sheetName val="Custom Numeric Formatting"/>
      <sheetName val="Conditional Formatting Tricks"/>
      <sheetName val="Dynamic Ranges"/>
      <sheetName val="Dynamic Ranges and Charts"/>
      <sheetName val="Charts with Custom Symbols"/>
      <sheetName val="Creating Simple UI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Name</v>
          </cell>
        </row>
      </sheetData>
      <sheetData sheetId="7">
        <row r="5">
          <cell r="B5" t="str">
            <v>Name</v>
          </cell>
        </row>
        <row r="6">
          <cell r="B6" t="str">
            <v>fred</v>
          </cell>
        </row>
        <row r="7">
          <cell r="B7" t="str">
            <v>jim</v>
          </cell>
        </row>
        <row r="8">
          <cell r="B8" t="str">
            <v>sally</v>
          </cell>
        </row>
        <row r="9">
          <cell r="B9" t="str">
            <v>peggy</v>
          </cell>
        </row>
        <row r="10">
          <cell r="B10" t="str">
            <v>deep</v>
          </cell>
        </row>
        <row r="11">
          <cell r="B11" t="str">
            <v>chris</v>
          </cell>
        </row>
        <row r="29">
          <cell r="B29" t="str">
            <v>Date</v>
          </cell>
        </row>
        <row r="30">
          <cell r="B30">
            <v>37987</v>
          </cell>
          <cell r="D30">
            <v>14</v>
          </cell>
        </row>
        <row r="31">
          <cell r="B31">
            <v>37988</v>
          </cell>
        </row>
        <row r="32">
          <cell r="B32">
            <v>37989</v>
          </cell>
        </row>
        <row r="33">
          <cell r="B33">
            <v>37990</v>
          </cell>
        </row>
        <row r="34">
          <cell r="B34">
            <v>37991</v>
          </cell>
        </row>
        <row r="35">
          <cell r="B35">
            <v>37992</v>
          </cell>
        </row>
        <row r="36">
          <cell r="B36">
            <v>37993</v>
          </cell>
        </row>
        <row r="37">
          <cell r="B37">
            <v>37994</v>
          </cell>
        </row>
        <row r="38">
          <cell r="B38">
            <v>37995</v>
          </cell>
        </row>
        <row r="39">
          <cell r="B39">
            <v>37996</v>
          </cell>
        </row>
        <row r="40">
          <cell r="B40">
            <v>37997</v>
          </cell>
        </row>
        <row r="41">
          <cell r="B41">
            <v>37998</v>
          </cell>
        </row>
        <row r="42">
          <cell r="B42">
            <v>37999</v>
          </cell>
        </row>
        <row r="43">
          <cell r="B43">
            <v>38000</v>
          </cell>
        </row>
        <row r="44">
          <cell r="B44">
            <v>38001</v>
          </cell>
        </row>
        <row r="45">
          <cell r="B45">
            <v>38002</v>
          </cell>
        </row>
        <row r="46">
          <cell r="B46">
            <v>38003</v>
          </cell>
        </row>
        <row r="47">
          <cell r="B47">
            <v>38004</v>
          </cell>
        </row>
        <row r="48">
          <cell r="B48">
            <v>38005</v>
          </cell>
        </row>
        <row r="49">
          <cell r="B49">
            <v>38006</v>
          </cell>
        </row>
        <row r="50">
          <cell r="B50">
            <v>38007</v>
          </cell>
        </row>
        <row r="51">
          <cell r="B51">
            <v>38008</v>
          </cell>
        </row>
        <row r="52">
          <cell r="B52">
            <v>38009</v>
          </cell>
        </row>
        <row r="53">
          <cell r="B53">
            <v>38010</v>
          </cell>
        </row>
        <row r="54">
          <cell r="B54">
            <v>38011</v>
          </cell>
        </row>
        <row r="55">
          <cell r="B55">
            <v>38012</v>
          </cell>
        </row>
        <row r="56">
          <cell r="B56">
            <v>38013</v>
          </cell>
        </row>
        <row r="57">
          <cell r="B57">
            <v>38014</v>
          </cell>
        </row>
        <row r="58">
          <cell r="B58">
            <v>38015</v>
          </cell>
        </row>
        <row r="59">
          <cell r="B59">
            <v>38016</v>
          </cell>
        </row>
        <row r="60">
          <cell r="B60">
            <v>38017</v>
          </cell>
        </row>
        <row r="61">
          <cell r="B61">
            <v>38018</v>
          </cell>
        </row>
        <row r="62">
          <cell r="B62">
            <v>38019</v>
          </cell>
        </row>
        <row r="63">
          <cell r="B63">
            <v>38020</v>
          </cell>
        </row>
        <row r="64">
          <cell r="B64">
            <v>38021</v>
          </cell>
        </row>
        <row r="65">
          <cell r="B65">
            <v>38022</v>
          </cell>
        </row>
        <row r="66">
          <cell r="B66">
            <v>38023</v>
          </cell>
        </row>
        <row r="67">
          <cell r="B67">
            <v>38024</v>
          </cell>
        </row>
        <row r="68">
          <cell r="B68">
            <v>38025</v>
          </cell>
        </row>
        <row r="69">
          <cell r="B69">
            <v>38026</v>
          </cell>
        </row>
        <row r="70">
          <cell r="B70">
            <v>38027</v>
          </cell>
        </row>
        <row r="71">
          <cell r="B71">
            <v>38028</v>
          </cell>
        </row>
        <row r="72">
          <cell r="B72">
            <v>38029</v>
          </cell>
        </row>
        <row r="73">
          <cell r="B73">
            <v>38030</v>
          </cell>
        </row>
        <row r="74">
          <cell r="B74">
            <v>38031</v>
          </cell>
        </row>
        <row r="75">
          <cell r="B75">
            <v>38032</v>
          </cell>
        </row>
        <row r="76">
          <cell r="B76">
            <v>38033</v>
          </cell>
        </row>
        <row r="77">
          <cell r="B77">
            <v>38034</v>
          </cell>
        </row>
        <row r="78">
          <cell r="B78">
            <v>38035</v>
          </cell>
        </row>
        <row r="79">
          <cell r="B79">
            <v>38036</v>
          </cell>
        </row>
        <row r="80">
          <cell r="B80">
            <v>38037</v>
          </cell>
        </row>
        <row r="81">
          <cell r="B81">
            <v>38038</v>
          </cell>
        </row>
        <row r="82">
          <cell r="B82">
            <v>38039</v>
          </cell>
        </row>
        <row r="83">
          <cell r="B83">
            <v>38040</v>
          </cell>
        </row>
        <row r="84">
          <cell r="B84">
            <v>38041</v>
          </cell>
        </row>
        <row r="85">
          <cell r="B85">
            <v>38042</v>
          </cell>
        </row>
        <row r="86">
          <cell r="B86">
            <v>38043</v>
          </cell>
        </row>
        <row r="87">
          <cell r="B87">
            <v>38044</v>
          </cell>
        </row>
        <row r="88">
          <cell r="B88">
            <v>38045</v>
          </cell>
        </row>
        <row r="89">
          <cell r="B89">
            <v>38046</v>
          </cell>
        </row>
        <row r="90">
          <cell r="B90">
            <v>38047</v>
          </cell>
        </row>
        <row r="91">
          <cell r="B91">
            <v>38048</v>
          </cell>
        </row>
        <row r="92">
          <cell r="B92">
            <v>38049</v>
          </cell>
        </row>
        <row r="93">
          <cell r="B93">
            <v>38050</v>
          </cell>
        </row>
        <row r="94">
          <cell r="B94">
            <v>38051</v>
          </cell>
        </row>
        <row r="95">
          <cell r="B95">
            <v>38052</v>
          </cell>
        </row>
        <row r="96">
          <cell r="B96">
            <v>38053</v>
          </cell>
        </row>
        <row r="97">
          <cell r="B97">
            <v>38054</v>
          </cell>
        </row>
        <row r="98">
          <cell r="B98">
            <v>38055</v>
          </cell>
        </row>
        <row r="99">
          <cell r="B99">
            <v>38056</v>
          </cell>
        </row>
        <row r="100">
          <cell r="B100">
            <v>38057</v>
          </cell>
        </row>
        <row r="101">
          <cell r="B101">
            <v>38058</v>
          </cell>
        </row>
        <row r="102">
          <cell r="B102">
            <v>38059</v>
          </cell>
        </row>
        <row r="103">
          <cell r="B103">
            <v>38060</v>
          </cell>
        </row>
        <row r="104">
          <cell r="B104">
            <v>38061</v>
          </cell>
        </row>
        <row r="105">
          <cell r="B105">
            <v>38062</v>
          </cell>
        </row>
        <row r="106">
          <cell r="B106">
            <v>38063</v>
          </cell>
        </row>
        <row r="107">
          <cell r="B107">
            <v>38064</v>
          </cell>
        </row>
        <row r="108">
          <cell r="B108">
            <v>38065</v>
          </cell>
        </row>
        <row r="109">
          <cell r="B109">
            <v>38066</v>
          </cell>
        </row>
        <row r="110">
          <cell r="B110">
            <v>38067</v>
          </cell>
        </row>
        <row r="111">
          <cell r="B111">
            <v>38068</v>
          </cell>
        </row>
        <row r="112">
          <cell r="B112">
            <v>38069</v>
          </cell>
        </row>
        <row r="113">
          <cell r="B113">
            <v>38070</v>
          </cell>
        </row>
        <row r="114">
          <cell r="B114">
            <v>38071</v>
          </cell>
        </row>
        <row r="115">
          <cell r="B115">
            <v>38072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Auditing"/>
      <sheetName val="Conditional"/>
      <sheetName val="Trends"/>
      <sheetName val="Pct Increment"/>
    </sheetNames>
    <sheetDataSet>
      <sheetData sheetId="0"/>
      <sheetData sheetId="1"/>
      <sheetData sheetId="2"/>
      <sheetData sheetId="3"/>
      <sheetData sheetId="4">
        <row r="16">
          <cell r="A1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xcelwiki.com/Excel/DateAndTimeBasics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AppendPopup(this,'xldefCellReference_1')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.perceptualedge.com/examples.htm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39997558519241921"/>
  </sheetPr>
  <dimension ref="A1:J49"/>
  <sheetViews>
    <sheetView showGridLines="0" workbookViewId="0">
      <selection activeCell="A29" sqref="A29"/>
    </sheetView>
  </sheetViews>
  <sheetFormatPr defaultRowHeight="16.5" customHeight="1" x14ac:dyDescent="0.3"/>
  <cols>
    <col min="1" max="1" width="8.42578125" customWidth="1"/>
    <col min="2" max="2" width="26.140625" bestFit="1" customWidth="1"/>
    <col min="3" max="3" width="16.7109375" bestFit="1" customWidth="1"/>
    <col min="5" max="5" width="35.85546875" bestFit="1" customWidth="1"/>
    <col min="6" max="6" width="22.7109375" bestFit="1" customWidth="1"/>
  </cols>
  <sheetData>
    <row r="1" spans="1:6" ht="21.75" x14ac:dyDescent="0.45">
      <c r="A1" s="78" t="s">
        <v>302</v>
      </c>
    </row>
    <row r="2" spans="1:6" ht="15" x14ac:dyDescent="0.3">
      <c r="A2" s="5" t="s">
        <v>295</v>
      </c>
      <c r="B2" t="s">
        <v>306</v>
      </c>
    </row>
    <row r="3" spans="1:6" ht="15" x14ac:dyDescent="0.3">
      <c r="A3" s="5" t="s">
        <v>296</v>
      </c>
      <c r="B3" t="s">
        <v>297</v>
      </c>
    </row>
    <row r="4" spans="1:6" ht="15" x14ac:dyDescent="0.3">
      <c r="A4" s="5"/>
    </row>
    <row r="5" spans="1:6" ht="15" x14ac:dyDescent="0.3">
      <c r="A5" t="s">
        <v>4</v>
      </c>
    </row>
    <row r="6" spans="1:6" ht="15" x14ac:dyDescent="0.3">
      <c r="A6" s="5"/>
    </row>
    <row r="7" spans="1:6" ht="16.5" customHeight="1" x14ac:dyDescent="0.4">
      <c r="B7" s="86" t="s">
        <v>992</v>
      </c>
      <c r="C7" s="4"/>
      <c r="E7" s="86" t="s">
        <v>993</v>
      </c>
      <c r="F7" s="4"/>
    </row>
    <row r="8" spans="1:6" ht="16.5" customHeight="1" x14ac:dyDescent="0.3">
      <c r="B8" s="87" t="s">
        <v>994</v>
      </c>
      <c r="C8" s="87" t="s">
        <v>995</v>
      </c>
      <c r="E8" s="87" t="s">
        <v>996</v>
      </c>
      <c r="F8" s="87" t="s">
        <v>997</v>
      </c>
    </row>
    <row r="9" spans="1:6" ht="16.5" customHeight="1" x14ac:dyDescent="0.3">
      <c r="B9" s="87" t="s">
        <v>998</v>
      </c>
      <c r="C9" s="87" t="s">
        <v>999</v>
      </c>
      <c r="E9" s="87" t="s">
        <v>1000</v>
      </c>
      <c r="F9" s="87" t="s">
        <v>1001</v>
      </c>
    </row>
    <row r="10" spans="1:6" ht="16.5" customHeight="1" x14ac:dyDescent="0.3">
      <c r="B10" s="87" t="s">
        <v>1002</v>
      </c>
      <c r="C10" s="87" t="s">
        <v>1003</v>
      </c>
      <c r="E10" s="87" t="s">
        <v>1004</v>
      </c>
      <c r="F10" s="87" t="s">
        <v>1005</v>
      </c>
    </row>
    <row r="11" spans="1:6" ht="16.5" customHeight="1" x14ac:dyDescent="0.3">
      <c r="B11" s="87" t="s">
        <v>1006</v>
      </c>
      <c r="C11" s="87" t="s">
        <v>1007</v>
      </c>
      <c r="E11" s="87" t="s">
        <v>1008</v>
      </c>
      <c r="F11" s="87" t="s">
        <v>1009</v>
      </c>
    </row>
    <row r="12" spans="1:6" ht="16.5" customHeight="1" x14ac:dyDescent="0.3">
      <c r="B12" s="87" t="s">
        <v>1010</v>
      </c>
      <c r="C12" s="87" t="s">
        <v>1011</v>
      </c>
      <c r="E12" s="87" t="s">
        <v>1012</v>
      </c>
      <c r="F12" s="87" t="s">
        <v>1013</v>
      </c>
    </row>
    <row r="13" spans="1:6" ht="16.5" customHeight="1" x14ac:dyDescent="0.3">
      <c r="B13" s="87" t="s">
        <v>1014</v>
      </c>
      <c r="C13" s="87" t="s">
        <v>1015</v>
      </c>
      <c r="E13" s="87" t="s">
        <v>1016</v>
      </c>
      <c r="F13" s="87" t="s">
        <v>1017</v>
      </c>
    </row>
    <row r="14" spans="1:6" ht="16.5" customHeight="1" x14ac:dyDescent="0.3">
      <c r="B14" s="87" t="s">
        <v>1018</v>
      </c>
      <c r="C14" s="87" t="s">
        <v>1019</v>
      </c>
      <c r="E14" s="87" t="s">
        <v>1020</v>
      </c>
      <c r="F14" s="87" t="s">
        <v>1021</v>
      </c>
    </row>
    <row r="15" spans="1:6" ht="16.5" customHeight="1" x14ac:dyDescent="0.3">
      <c r="B15" s="87" t="s">
        <v>1022</v>
      </c>
      <c r="C15" s="87" t="s">
        <v>1023</v>
      </c>
      <c r="E15" s="87" t="s">
        <v>1024</v>
      </c>
      <c r="F15" s="87" t="s">
        <v>1025</v>
      </c>
    </row>
    <row r="16" spans="1:6" ht="16.5" customHeight="1" x14ac:dyDescent="0.3">
      <c r="B16" s="87" t="s">
        <v>1026</v>
      </c>
      <c r="C16" s="87" t="s">
        <v>1027</v>
      </c>
      <c r="E16" s="87" t="s">
        <v>1028</v>
      </c>
      <c r="F16" s="87" t="s">
        <v>1029</v>
      </c>
    </row>
    <row r="17" spans="2:6" ht="16.5" customHeight="1" x14ac:dyDescent="0.3">
      <c r="B17" s="87" t="s">
        <v>1030</v>
      </c>
      <c r="C17" s="87" t="s">
        <v>1031</v>
      </c>
    </row>
    <row r="18" spans="2:6" ht="16.5" customHeight="1" x14ac:dyDescent="0.4">
      <c r="B18" s="87" t="s">
        <v>1032</v>
      </c>
      <c r="C18" s="87" t="s">
        <v>1033</v>
      </c>
      <c r="E18" s="86" t="s">
        <v>1034</v>
      </c>
      <c r="F18" s="88"/>
    </row>
    <row r="19" spans="2:6" ht="16.5" customHeight="1" x14ac:dyDescent="0.3">
      <c r="B19" s="87" t="s">
        <v>1035</v>
      </c>
      <c r="C19" s="87" t="s">
        <v>1036</v>
      </c>
      <c r="E19" s="87" t="s">
        <v>1037</v>
      </c>
      <c r="F19" s="87" t="s">
        <v>1038</v>
      </c>
    </row>
    <row r="20" spans="2:6" ht="16.5" customHeight="1" x14ac:dyDescent="0.3">
      <c r="B20" s="87" t="s">
        <v>1039</v>
      </c>
      <c r="C20" s="87" t="s">
        <v>1040</v>
      </c>
      <c r="E20" s="87" t="s">
        <v>1041</v>
      </c>
      <c r="F20" s="87" t="s">
        <v>1013</v>
      </c>
    </row>
    <row r="21" spans="2:6" ht="16.5" customHeight="1" x14ac:dyDescent="0.3">
      <c r="B21" s="87" t="s">
        <v>1042</v>
      </c>
      <c r="C21" s="87" t="s">
        <v>1043</v>
      </c>
      <c r="E21" s="87" t="s">
        <v>1044</v>
      </c>
      <c r="F21" s="87" t="s">
        <v>1017</v>
      </c>
    </row>
    <row r="22" spans="2:6" ht="16.5" customHeight="1" x14ac:dyDescent="0.3">
      <c r="B22" s="87" t="s">
        <v>1045</v>
      </c>
      <c r="C22" s="87" t="s">
        <v>1046</v>
      </c>
      <c r="E22" s="87" t="s">
        <v>1047</v>
      </c>
      <c r="F22" s="87" t="s">
        <v>1048</v>
      </c>
    </row>
    <row r="23" spans="2:6" ht="16.5" customHeight="1" x14ac:dyDescent="0.3">
      <c r="B23" s="87" t="s">
        <v>1049</v>
      </c>
      <c r="C23" s="87" t="s">
        <v>1050</v>
      </c>
      <c r="E23" s="87" t="s">
        <v>1051</v>
      </c>
      <c r="F23" s="87" t="s">
        <v>1052</v>
      </c>
    </row>
    <row r="24" spans="2:6" ht="16.5" customHeight="1" x14ac:dyDescent="0.3">
      <c r="B24" s="87" t="s">
        <v>1053</v>
      </c>
      <c r="C24" s="87" t="s">
        <v>1054</v>
      </c>
      <c r="E24" s="87" t="s">
        <v>1055</v>
      </c>
      <c r="F24" s="87" t="s">
        <v>1056</v>
      </c>
    </row>
    <row r="25" spans="2:6" ht="16.5" customHeight="1" x14ac:dyDescent="0.3">
      <c r="B25" s="89" t="s">
        <v>1057</v>
      </c>
      <c r="C25" s="89" t="s">
        <v>1058</v>
      </c>
      <c r="E25" s="87" t="s">
        <v>1059</v>
      </c>
      <c r="F25" s="87" t="s">
        <v>1060</v>
      </c>
    </row>
    <row r="26" spans="2:6" ht="16.5" customHeight="1" x14ac:dyDescent="0.3">
      <c r="B26" s="89" t="s">
        <v>1061</v>
      </c>
      <c r="C26" s="89" t="s">
        <v>1062</v>
      </c>
    </row>
    <row r="27" spans="2:6" ht="16.5" customHeight="1" x14ac:dyDescent="0.4">
      <c r="B27" s="87"/>
      <c r="C27" s="87"/>
      <c r="E27" s="86" t="s">
        <v>1063</v>
      </c>
      <c r="F27" s="88"/>
    </row>
    <row r="28" spans="2:6" ht="16.5" customHeight="1" x14ac:dyDescent="0.4">
      <c r="B28" s="86" t="s">
        <v>1064</v>
      </c>
      <c r="C28" s="4"/>
      <c r="E28" s="87" t="s">
        <v>1065</v>
      </c>
      <c r="F28" s="87" t="s">
        <v>1066</v>
      </c>
    </row>
    <row r="29" spans="2:6" ht="16.5" customHeight="1" x14ac:dyDescent="0.3">
      <c r="B29" s="87" t="s">
        <v>1067</v>
      </c>
      <c r="C29" s="87" t="s">
        <v>1068</v>
      </c>
      <c r="E29" s="87" t="s">
        <v>1069</v>
      </c>
      <c r="F29" s="87" t="s">
        <v>1070</v>
      </c>
    </row>
    <row r="30" spans="2:6" ht="16.5" customHeight="1" x14ac:dyDescent="0.3">
      <c r="B30" s="87" t="s">
        <v>1071</v>
      </c>
      <c r="C30" s="87" t="s">
        <v>1072</v>
      </c>
      <c r="E30" s="87" t="s">
        <v>1073</v>
      </c>
      <c r="F30" s="87" t="s">
        <v>1074</v>
      </c>
    </row>
    <row r="31" spans="2:6" ht="16.5" customHeight="1" x14ac:dyDescent="0.3">
      <c r="B31" s="87" t="s">
        <v>1075</v>
      </c>
      <c r="C31" s="87" t="s">
        <v>1076</v>
      </c>
      <c r="E31" s="87" t="s">
        <v>1077</v>
      </c>
      <c r="F31" s="87" t="s">
        <v>1078</v>
      </c>
    </row>
    <row r="32" spans="2:6" ht="16.5" customHeight="1" x14ac:dyDescent="0.3">
      <c r="B32" s="87" t="s">
        <v>1079</v>
      </c>
      <c r="C32" s="87" t="s">
        <v>1080</v>
      </c>
    </row>
    <row r="33" spans="2:6" ht="16.5" customHeight="1" x14ac:dyDescent="0.4">
      <c r="B33" s="87" t="s">
        <v>1081</v>
      </c>
      <c r="C33" s="87" t="s">
        <v>1082</v>
      </c>
      <c r="E33" s="86" t="s">
        <v>1083</v>
      </c>
      <c r="F33" s="88"/>
    </row>
    <row r="34" spans="2:6" ht="16.5" customHeight="1" x14ac:dyDescent="0.3">
      <c r="B34" s="87" t="s">
        <v>1084</v>
      </c>
      <c r="C34" s="87" t="s">
        <v>1085</v>
      </c>
      <c r="E34" s="87" t="s">
        <v>1086</v>
      </c>
      <c r="F34" s="87" t="s">
        <v>1023</v>
      </c>
    </row>
    <row r="35" spans="2:6" ht="16.5" customHeight="1" x14ac:dyDescent="0.3">
      <c r="B35" s="87" t="s">
        <v>1087</v>
      </c>
      <c r="C35" s="87" t="s">
        <v>1088</v>
      </c>
      <c r="E35" s="87" t="s">
        <v>1089</v>
      </c>
      <c r="F35" s="87" t="s">
        <v>1090</v>
      </c>
    </row>
    <row r="36" spans="2:6" ht="16.5" customHeight="1" x14ac:dyDescent="0.3">
      <c r="B36" s="87" t="s">
        <v>1091</v>
      </c>
      <c r="C36" s="87" t="s">
        <v>1092</v>
      </c>
      <c r="E36" s="87" t="s">
        <v>1093</v>
      </c>
      <c r="F36" s="87" t="s">
        <v>1094</v>
      </c>
    </row>
    <row r="37" spans="2:6" ht="16.5" customHeight="1" x14ac:dyDescent="0.3">
      <c r="B37" s="87" t="s">
        <v>1095</v>
      </c>
      <c r="C37" s="87" t="s">
        <v>1096</v>
      </c>
      <c r="E37" s="87" t="s">
        <v>1097</v>
      </c>
      <c r="F37" s="87" t="s">
        <v>1098</v>
      </c>
    </row>
    <row r="38" spans="2:6" ht="16.5" customHeight="1" x14ac:dyDescent="0.3">
      <c r="B38" s="87" t="s">
        <v>1099</v>
      </c>
      <c r="C38" s="87" t="s">
        <v>1100</v>
      </c>
    </row>
    <row r="39" spans="2:6" ht="16.5" customHeight="1" x14ac:dyDescent="0.4">
      <c r="B39" s="87" t="s">
        <v>1101</v>
      </c>
      <c r="C39" s="87" t="s">
        <v>1102</v>
      </c>
      <c r="E39" s="86" t="s">
        <v>1103</v>
      </c>
      <c r="F39" s="88"/>
    </row>
    <row r="40" spans="2:6" ht="16.5" customHeight="1" x14ac:dyDescent="0.3">
      <c r="B40" s="87" t="s">
        <v>1104</v>
      </c>
      <c r="C40" s="87" t="s">
        <v>1105</v>
      </c>
      <c r="E40" s="87" t="s">
        <v>1106</v>
      </c>
      <c r="F40" s="87" t="s">
        <v>1107</v>
      </c>
    </row>
    <row r="41" spans="2:6" ht="16.5" customHeight="1" x14ac:dyDescent="0.3">
      <c r="B41" s="87" t="s">
        <v>1108</v>
      </c>
      <c r="C41" s="87" t="s">
        <v>1109</v>
      </c>
      <c r="E41" s="87" t="s">
        <v>1110</v>
      </c>
      <c r="F41" s="87" t="s">
        <v>1111</v>
      </c>
    </row>
    <row r="42" spans="2:6" ht="16.5" customHeight="1" x14ac:dyDescent="0.3">
      <c r="B42" s="87" t="s">
        <v>1112</v>
      </c>
      <c r="C42" s="87" t="s">
        <v>1082</v>
      </c>
      <c r="E42" s="87" t="s">
        <v>1113</v>
      </c>
      <c r="F42" s="87" t="s">
        <v>1114</v>
      </c>
    </row>
    <row r="43" spans="2:6" ht="16.5" customHeight="1" x14ac:dyDescent="0.3">
      <c r="B43" s="87" t="s">
        <v>1115</v>
      </c>
      <c r="C43" s="87" t="s">
        <v>1085</v>
      </c>
      <c r="E43" s="87" t="s">
        <v>1116</v>
      </c>
      <c r="F43" s="87" t="s">
        <v>1117</v>
      </c>
    </row>
    <row r="44" spans="2:6" ht="16.5" customHeight="1" x14ac:dyDescent="0.3">
      <c r="B44" s="87" t="s">
        <v>1118</v>
      </c>
      <c r="C44" s="87" t="s">
        <v>1119</v>
      </c>
      <c r="E44" s="87" t="s">
        <v>1120</v>
      </c>
      <c r="F44" s="87" t="s">
        <v>1121</v>
      </c>
    </row>
    <row r="45" spans="2:6" ht="16.5" customHeight="1" x14ac:dyDescent="0.3">
      <c r="B45" s="87" t="s">
        <v>1122</v>
      </c>
      <c r="C45" s="87" t="s">
        <v>1123</v>
      </c>
    </row>
    <row r="49" spans="10:10" ht="16.5" customHeight="1" x14ac:dyDescent="0.3">
      <c r="J49" s="90"/>
    </row>
  </sheetData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39997558519241921"/>
  </sheetPr>
  <dimension ref="A1:M43"/>
  <sheetViews>
    <sheetView workbookViewId="0">
      <selection activeCell="B32" sqref="B32"/>
    </sheetView>
  </sheetViews>
  <sheetFormatPr defaultRowHeight="12.75" x14ac:dyDescent="0.2"/>
  <cols>
    <col min="1" max="1" width="22.140625" style="292" bestFit="1" customWidth="1"/>
    <col min="2" max="2" width="26.140625" style="292" customWidth="1"/>
    <col min="3" max="3" width="21.140625" style="292" bestFit="1" customWidth="1"/>
    <col min="4" max="4" width="19.140625" style="303" customWidth="1"/>
    <col min="5" max="7" width="9.140625" style="315"/>
    <col min="8" max="8" width="24.140625" style="292" bestFit="1" customWidth="1"/>
    <col min="9" max="9" width="35.5703125" style="315" customWidth="1"/>
    <col min="10" max="13" width="9.140625" style="315"/>
    <col min="14" max="16384" width="9.140625" style="292"/>
  </cols>
  <sheetData>
    <row r="1" spans="1:8" s="292" customFormat="1" ht="18" x14ac:dyDescent="0.25">
      <c r="A1" s="324" t="s">
        <v>2032</v>
      </c>
      <c r="B1" s="324" t="s">
        <v>2035</v>
      </c>
      <c r="C1" s="324" t="s">
        <v>2034</v>
      </c>
      <c r="D1" s="324" t="s">
        <v>2033</v>
      </c>
      <c r="E1" s="315"/>
      <c r="F1" s="315"/>
      <c r="G1" s="315"/>
      <c r="H1" s="323" t="s">
        <v>2032</v>
      </c>
    </row>
    <row r="2" spans="1:8" s="292" customFormat="1" ht="18" x14ac:dyDescent="0.25">
      <c r="A2" s="320" t="s">
        <v>2029</v>
      </c>
      <c r="B2" s="319">
        <v>45600</v>
      </c>
      <c r="C2" s="318">
        <v>0.45600000000000002</v>
      </c>
      <c r="D2" s="322">
        <v>39097</v>
      </c>
      <c r="E2" s="315"/>
      <c r="F2" s="315"/>
      <c r="G2" s="315"/>
      <c r="H2" s="321" t="s">
        <v>1331</v>
      </c>
    </row>
    <row r="3" spans="1:8" s="292" customFormat="1" ht="18" x14ac:dyDescent="0.25">
      <c r="A3" s="320" t="s">
        <v>1331</v>
      </c>
      <c r="B3" s="319">
        <v>189000</v>
      </c>
      <c r="C3" s="318">
        <v>0.05</v>
      </c>
      <c r="D3" s="322">
        <v>39102</v>
      </c>
      <c r="E3" s="315"/>
      <c r="F3" s="315"/>
      <c r="G3" s="315"/>
      <c r="H3" s="321" t="s">
        <v>2031</v>
      </c>
    </row>
    <row r="4" spans="1:8" s="292" customFormat="1" ht="18" x14ac:dyDescent="0.25">
      <c r="A4" s="320"/>
      <c r="B4" s="319"/>
      <c r="C4" s="318"/>
      <c r="D4" s="317"/>
      <c r="E4" s="315"/>
      <c r="F4" s="315"/>
      <c r="G4" s="315"/>
      <c r="H4" s="321" t="s">
        <v>2030</v>
      </c>
    </row>
    <row r="5" spans="1:8" s="292" customFormat="1" ht="18" x14ac:dyDescent="0.25">
      <c r="A5" s="320"/>
      <c r="B5" s="319"/>
      <c r="C5" s="318"/>
      <c r="D5" s="317"/>
      <c r="E5" s="315"/>
      <c r="F5" s="315"/>
      <c r="G5" s="315"/>
      <c r="H5" s="321" t="s">
        <v>2029</v>
      </c>
    </row>
    <row r="6" spans="1:8" s="292" customFormat="1" ht="18" x14ac:dyDescent="0.25">
      <c r="A6" s="320"/>
      <c r="B6" s="319"/>
      <c r="C6" s="318"/>
      <c r="D6" s="317"/>
      <c r="E6" s="315"/>
      <c r="F6" s="315"/>
      <c r="G6" s="315"/>
      <c r="H6" s="321" t="s">
        <v>2028</v>
      </c>
    </row>
    <row r="7" spans="1:8" s="292" customFormat="1" ht="18" x14ac:dyDescent="0.25">
      <c r="A7" s="320"/>
      <c r="B7" s="319"/>
      <c r="C7" s="318"/>
      <c r="D7" s="317"/>
      <c r="E7" s="315"/>
      <c r="F7" s="315"/>
      <c r="G7" s="315"/>
      <c r="H7" s="315"/>
    </row>
    <row r="8" spans="1:8" s="292" customFormat="1" ht="18" x14ac:dyDescent="0.25">
      <c r="A8" s="320"/>
      <c r="B8" s="319"/>
      <c r="C8" s="318"/>
      <c r="D8" s="317"/>
      <c r="E8" s="315"/>
      <c r="F8" s="315"/>
      <c r="G8" s="315"/>
      <c r="H8" s="315"/>
    </row>
    <row r="9" spans="1:8" s="292" customFormat="1" ht="18" x14ac:dyDescent="0.25">
      <c r="A9" s="320"/>
      <c r="B9" s="319"/>
      <c r="C9" s="318"/>
      <c r="D9" s="317"/>
      <c r="E9" s="315"/>
      <c r="F9" s="315"/>
      <c r="G9" s="315"/>
      <c r="H9" s="315"/>
    </row>
    <row r="10" spans="1:8" s="292" customFormat="1" ht="18" x14ac:dyDescent="0.25">
      <c r="A10" s="320"/>
      <c r="B10" s="319"/>
      <c r="C10" s="318"/>
      <c r="D10" s="317"/>
      <c r="E10" s="315"/>
      <c r="F10" s="315"/>
      <c r="G10" s="315"/>
      <c r="H10" s="315"/>
    </row>
    <row r="11" spans="1:8" s="292" customFormat="1" ht="18" x14ac:dyDescent="0.25">
      <c r="A11" s="320"/>
      <c r="B11" s="319"/>
      <c r="C11" s="318"/>
      <c r="D11" s="317"/>
      <c r="E11" s="315"/>
      <c r="F11" s="315"/>
      <c r="G11" s="315"/>
      <c r="H11" s="315"/>
    </row>
    <row r="12" spans="1:8" s="292" customFormat="1" ht="18" x14ac:dyDescent="0.25">
      <c r="A12" s="320"/>
      <c r="B12" s="319"/>
      <c r="C12" s="318"/>
      <c r="D12" s="317"/>
      <c r="E12" s="315"/>
      <c r="F12" s="315"/>
      <c r="G12" s="315"/>
      <c r="H12" s="315"/>
    </row>
    <row r="13" spans="1:8" s="292" customFormat="1" ht="18" x14ac:dyDescent="0.25">
      <c r="A13" s="320"/>
      <c r="B13" s="319"/>
      <c r="C13" s="318"/>
      <c r="D13" s="317"/>
      <c r="E13" s="315"/>
      <c r="F13" s="315"/>
      <c r="G13" s="315"/>
      <c r="H13" s="315"/>
    </row>
    <row r="14" spans="1:8" s="292" customFormat="1" ht="18" x14ac:dyDescent="0.25">
      <c r="A14" s="320"/>
      <c r="B14" s="319"/>
      <c r="C14" s="318"/>
      <c r="D14" s="317"/>
      <c r="E14" s="315"/>
      <c r="F14" s="315"/>
      <c r="G14" s="315"/>
      <c r="H14" s="315"/>
    </row>
    <row r="15" spans="1:8" s="292" customFormat="1" ht="18" x14ac:dyDescent="0.25">
      <c r="A15" s="320"/>
      <c r="B15" s="319"/>
      <c r="C15" s="318"/>
      <c r="D15" s="317"/>
      <c r="E15" s="315"/>
      <c r="F15" s="315"/>
      <c r="G15" s="315"/>
      <c r="H15" s="315"/>
    </row>
    <row r="16" spans="1:8" s="292" customFormat="1" ht="18" x14ac:dyDescent="0.25">
      <c r="A16" s="320"/>
      <c r="B16" s="319"/>
      <c r="C16" s="318"/>
      <c r="D16" s="317"/>
      <c r="E16" s="315"/>
      <c r="F16" s="315"/>
      <c r="G16" s="315"/>
      <c r="H16" s="315"/>
    </row>
    <row r="17" spans="1:8" s="292" customFormat="1" ht="18" x14ac:dyDescent="0.25">
      <c r="A17" s="320"/>
      <c r="B17" s="319"/>
      <c r="C17" s="318"/>
      <c r="D17" s="317"/>
      <c r="E17" s="315"/>
      <c r="F17" s="315"/>
      <c r="G17" s="315"/>
      <c r="H17" s="315"/>
    </row>
    <row r="18" spans="1:8" s="292" customFormat="1" ht="18" x14ac:dyDescent="0.25">
      <c r="A18" s="320"/>
      <c r="B18" s="319"/>
      <c r="C18" s="318"/>
      <c r="D18" s="317"/>
      <c r="E18" s="315"/>
      <c r="F18" s="315"/>
      <c r="G18" s="315"/>
      <c r="H18" s="315"/>
    </row>
    <row r="19" spans="1:8" s="292" customFormat="1" ht="18" x14ac:dyDescent="0.25">
      <c r="A19" s="320"/>
      <c r="B19" s="319"/>
      <c r="C19" s="318"/>
      <c r="D19" s="317"/>
      <c r="E19" s="315"/>
      <c r="F19" s="315"/>
      <c r="G19" s="315"/>
      <c r="H19" s="315"/>
    </row>
    <row r="20" spans="1:8" s="292" customFormat="1" ht="18" x14ac:dyDescent="0.25">
      <c r="A20" s="320"/>
      <c r="B20" s="319"/>
      <c r="C20" s="318"/>
      <c r="D20" s="317"/>
      <c r="E20" s="315"/>
      <c r="F20" s="315"/>
      <c r="G20" s="315"/>
      <c r="H20" s="315"/>
    </row>
    <row r="21" spans="1:8" s="292" customFormat="1" ht="18" x14ac:dyDescent="0.25">
      <c r="A21" s="320"/>
      <c r="B21" s="319"/>
      <c r="C21" s="318"/>
      <c r="D21" s="317"/>
      <c r="E21" s="315"/>
      <c r="F21" s="315"/>
      <c r="G21" s="315"/>
      <c r="H21" s="315"/>
    </row>
    <row r="22" spans="1:8" s="292" customFormat="1" ht="18" x14ac:dyDescent="0.25">
      <c r="A22" s="320"/>
      <c r="B22" s="319"/>
      <c r="C22" s="318"/>
      <c r="D22" s="317"/>
      <c r="E22" s="315"/>
      <c r="F22" s="315"/>
      <c r="G22" s="315"/>
      <c r="H22" s="315"/>
    </row>
    <row r="23" spans="1:8" s="292" customFormat="1" x14ac:dyDescent="0.2">
      <c r="A23" s="315"/>
      <c r="B23" s="315"/>
      <c r="C23" s="315"/>
      <c r="D23" s="316"/>
      <c r="E23" s="315"/>
      <c r="F23" s="315"/>
      <c r="G23" s="315"/>
      <c r="H23" s="315"/>
    </row>
    <row r="24" spans="1:8" s="292" customFormat="1" x14ac:dyDescent="0.2">
      <c r="A24" s="315"/>
      <c r="B24" s="315"/>
      <c r="C24" s="315"/>
      <c r="D24" s="316"/>
      <c r="E24" s="315"/>
      <c r="F24" s="315"/>
      <c r="G24" s="315"/>
      <c r="H24" s="315"/>
    </row>
    <row r="25" spans="1:8" s="292" customFormat="1" x14ac:dyDescent="0.2">
      <c r="A25" s="315"/>
      <c r="B25" s="315"/>
      <c r="C25" s="315"/>
      <c r="D25" s="316"/>
      <c r="E25" s="315"/>
      <c r="F25" s="315"/>
      <c r="G25" s="315"/>
      <c r="H25" s="315"/>
    </row>
    <row r="26" spans="1:8" s="292" customFormat="1" x14ac:dyDescent="0.2">
      <c r="A26" s="315"/>
      <c r="B26" s="315"/>
      <c r="C26" s="315"/>
      <c r="D26" s="316"/>
      <c r="E26" s="315"/>
      <c r="F26" s="315"/>
      <c r="G26" s="315"/>
      <c r="H26" s="315"/>
    </row>
    <row r="27" spans="1:8" s="292" customFormat="1" x14ac:dyDescent="0.2">
      <c r="A27" s="315"/>
      <c r="B27" s="315"/>
      <c r="C27" s="315"/>
      <c r="D27" s="316"/>
      <c r="E27" s="315"/>
      <c r="F27" s="315"/>
      <c r="G27" s="315"/>
      <c r="H27" s="315"/>
    </row>
    <row r="28" spans="1:8" s="292" customFormat="1" x14ac:dyDescent="0.2">
      <c r="A28" s="315"/>
      <c r="B28" s="315"/>
      <c r="C28" s="315"/>
      <c r="D28" s="316"/>
      <c r="E28" s="315"/>
      <c r="F28" s="315"/>
      <c r="G28" s="315"/>
      <c r="H28" s="315"/>
    </row>
    <row r="29" spans="1:8" s="292" customFormat="1" x14ac:dyDescent="0.2">
      <c r="A29" s="315"/>
      <c r="B29" s="315"/>
      <c r="C29" s="315"/>
      <c r="D29" s="316"/>
      <c r="E29" s="315"/>
      <c r="F29" s="315"/>
      <c r="G29" s="315"/>
      <c r="H29" s="315"/>
    </row>
    <row r="30" spans="1:8" s="292" customFormat="1" x14ac:dyDescent="0.2">
      <c r="A30" s="315"/>
      <c r="B30" s="315"/>
      <c r="C30" s="315"/>
      <c r="D30" s="316"/>
      <c r="E30" s="315"/>
      <c r="F30" s="315"/>
      <c r="G30" s="315"/>
      <c r="H30" s="315"/>
    </row>
    <row r="31" spans="1:8" s="292" customFormat="1" x14ac:dyDescent="0.2">
      <c r="A31" s="315"/>
      <c r="B31" s="315"/>
      <c r="C31" s="315"/>
      <c r="D31" s="316"/>
      <c r="E31" s="315"/>
      <c r="F31" s="315"/>
      <c r="G31" s="315"/>
      <c r="H31" s="315"/>
    </row>
    <row r="32" spans="1:8" s="292" customFormat="1" x14ac:dyDescent="0.2">
      <c r="A32" s="315"/>
      <c r="B32" s="315"/>
      <c r="C32" s="315"/>
      <c r="D32" s="316"/>
      <c r="E32" s="315"/>
      <c r="F32" s="315"/>
      <c r="G32" s="315"/>
      <c r="H32" s="315"/>
    </row>
    <row r="33" spans="4:4" s="315" customFormat="1" x14ac:dyDescent="0.2">
      <c r="D33" s="316"/>
    </row>
    <row r="34" spans="4:4" s="315" customFormat="1" x14ac:dyDescent="0.2">
      <c r="D34" s="316"/>
    </row>
    <row r="35" spans="4:4" s="315" customFormat="1" x14ac:dyDescent="0.2">
      <c r="D35" s="316"/>
    </row>
    <row r="36" spans="4:4" s="315" customFormat="1" x14ac:dyDescent="0.2">
      <c r="D36" s="316"/>
    </row>
    <row r="37" spans="4:4" s="315" customFormat="1" x14ac:dyDescent="0.2">
      <c r="D37" s="316"/>
    </row>
    <row r="38" spans="4:4" s="315" customFormat="1" x14ac:dyDescent="0.2">
      <c r="D38" s="316"/>
    </row>
    <row r="39" spans="4:4" s="315" customFormat="1" x14ac:dyDescent="0.2">
      <c r="D39" s="316"/>
    </row>
    <row r="40" spans="4:4" s="315" customFormat="1" x14ac:dyDescent="0.2">
      <c r="D40" s="316"/>
    </row>
    <row r="41" spans="4:4" s="315" customFormat="1" x14ac:dyDescent="0.2">
      <c r="D41" s="316"/>
    </row>
    <row r="42" spans="4:4" s="315" customFormat="1" x14ac:dyDescent="0.2">
      <c r="D42" s="316"/>
    </row>
    <row r="43" spans="4:4" s="315" customFormat="1" x14ac:dyDescent="0.2">
      <c r="D43" s="316"/>
    </row>
  </sheetData>
  <dataValidations count="4">
    <dataValidation type="date" errorStyle="information" allowBlank="1" showInputMessage="1" showErrorMessage="1" error="You should enter a date in the year 2006 or 2007" prompt="Please enter a date in 2006 or 2007" sqref="D2:D22 IZ2:IZ22 SV2:SV22 ACR2:ACR22 AMN2:AMN22 AWJ2:AWJ22 BGF2:BGF22 BQB2:BQB22 BZX2:BZX22 CJT2:CJT22 CTP2:CTP22 DDL2:DDL22 DNH2:DNH22 DXD2:DXD22 EGZ2:EGZ22 EQV2:EQV22 FAR2:FAR22 FKN2:FKN22 FUJ2:FUJ22 GEF2:GEF22 GOB2:GOB22 GXX2:GXX22 HHT2:HHT22 HRP2:HRP22 IBL2:IBL22 ILH2:ILH22 IVD2:IVD22 JEZ2:JEZ22 JOV2:JOV22 JYR2:JYR22 KIN2:KIN22 KSJ2:KSJ22 LCF2:LCF22 LMB2:LMB22 LVX2:LVX22 MFT2:MFT22 MPP2:MPP22 MZL2:MZL22 NJH2:NJH22 NTD2:NTD22 OCZ2:OCZ22 OMV2:OMV22 OWR2:OWR22 PGN2:PGN22 PQJ2:PQJ22 QAF2:QAF22 QKB2:QKB22 QTX2:QTX22 RDT2:RDT22 RNP2:RNP22 RXL2:RXL22 SHH2:SHH22 SRD2:SRD22 TAZ2:TAZ22 TKV2:TKV22 TUR2:TUR22 UEN2:UEN22 UOJ2:UOJ22 UYF2:UYF22 VIB2:VIB22 VRX2:VRX22 WBT2:WBT22 WLP2:WLP22 WVL2:WVL22 D65538:D65558 IZ65538:IZ65558 SV65538:SV65558 ACR65538:ACR65558 AMN65538:AMN65558 AWJ65538:AWJ65558 BGF65538:BGF65558 BQB65538:BQB65558 BZX65538:BZX65558 CJT65538:CJT65558 CTP65538:CTP65558 DDL65538:DDL65558 DNH65538:DNH65558 DXD65538:DXD65558 EGZ65538:EGZ65558 EQV65538:EQV65558 FAR65538:FAR65558 FKN65538:FKN65558 FUJ65538:FUJ65558 GEF65538:GEF65558 GOB65538:GOB65558 GXX65538:GXX65558 HHT65538:HHT65558 HRP65538:HRP65558 IBL65538:IBL65558 ILH65538:ILH65558 IVD65538:IVD65558 JEZ65538:JEZ65558 JOV65538:JOV65558 JYR65538:JYR65558 KIN65538:KIN65558 KSJ65538:KSJ65558 LCF65538:LCF65558 LMB65538:LMB65558 LVX65538:LVX65558 MFT65538:MFT65558 MPP65538:MPP65558 MZL65538:MZL65558 NJH65538:NJH65558 NTD65538:NTD65558 OCZ65538:OCZ65558 OMV65538:OMV65558 OWR65538:OWR65558 PGN65538:PGN65558 PQJ65538:PQJ65558 QAF65538:QAF65558 QKB65538:QKB65558 QTX65538:QTX65558 RDT65538:RDT65558 RNP65538:RNP65558 RXL65538:RXL65558 SHH65538:SHH65558 SRD65538:SRD65558 TAZ65538:TAZ65558 TKV65538:TKV65558 TUR65538:TUR65558 UEN65538:UEN65558 UOJ65538:UOJ65558 UYF65538:UYF65558 VIB65538:VIB65558 VRX65538:VRX65558 WBT65538:WBT65558 WLP65538:WLP65558 WVL65538:WVL65558 D131074:D131094 IZ131074:IZ131094 SV131074:SV131094 ACR131074:ACR131094 AMN131074:AMN131094 AWJ131074:AWJ131094 BGF131074:BGF131094 BQB131074:BQB131094 BZX131074:BZX131094 CJT131074:CJT131094 CTP131074:CTP131094 DDL131074:DDL131094 DNH131074:DNH131094 DXD131074:DXD131094 EGZ131074:EGZ131094 EQV131074:EQV131094 FAR131074:FAR131094 FKN131074:FKN131094 FUJ131074:FUJ131094 GEF131074:GEF131094 GOB131074:GOB131094 GXX131074:GXX131094 HHT131074:HHT131094 HRP131074:HRP131094 IBL131074:IBL131094 ILH131074:ILH131094 IVD131074:IVD131094 JEZ131074:JEZ131094 JOV131074:JOV131094 JYR131074:JYR131094 KIN131074:KIN131094 KSJ131074:KSJ131094 LCF131074:LCF131094 LMB131074:LMB131094 LVX131074:LVX131094 MFT131074:MFT131094 MPP131074:MPP131094 MZL131074:MZL131094 NJH131074:NJH131094 NTD131074:NTD131094 OCZ131074:OCZ131094 OMV131074:OMV131094 OWR131074:OWR131094 PGN131074:PGN131094 PQJ131074:PQJ131094 QAF131074:QAF131094 QKB131074:QKB131094 QTX131074:QTX131094 RDT131074:RDT131094 RNP131074:RNP131094 RXL131074:RXL131094 SHH131074:SHH131094 SRD131074:SRD131094 TAZ131074:TAZ131094 TKV131074:TKV131094 TUR131074:TUR131094 UEN131074:UEN131094 UOJ131074:UOJ131094 UYF131074:UYF131094 VIB131074:VIB131094 VRX131074:VRX131094 WBT131074:WBT131094 WLP131074:WLP131094 WVL131074:WVL131094 D196610:D196630 IZ196610:IZ196630 SV196610:SV196630 ACR196610:ACR196630 AMN196610:AMN196630 AWJ196610:AWJ196630 BGF196610:BGF196630 BQB196610:BQB196630 BZX196610:BZX196630 CJT196610:CJT196630 CTP196610:CTP196630 DDL196610:DDL196630 DNH196610:DNH196630 DXD196610:DXD196630 EGZ196610:EGZ196630 EQV196610:EQV196630 FAR196610:FAR196630 FKN196610:FKN196630 FUJ196610:FUJ196630 GEF196610:GEF196630 GOB196610:GOB196630 GXX196610:GXX196630 HHT196610:HHT196630 HRP196610:HRP196630 IBL196610:IBL196630 ILH196610:ILH196630 IVD196610:IVD196630 JEZ196610:JEZ196630 JOV196610:JOV196630 JYR196610:JYR196630 KIN196610:KIN196630 KSJ196610:KSJ196630 LCF196610:LCF196630 LMB196610:LMB196630 LVX196610:LVX196630 MFT196610:MFT196630 MPP196610:MPP196630 MZL196610:MZL196630 NJH196610:NJH196630 NTD196610:NTD196630 OCZ196610:OCZ196630 OMV196610:OMV196630 OWR196610:OWR196630 PGN196610:PGN196630 PQJ196610:PQJ196630 QAF196610:QAF196630 QKB196610:QKB196630 QTX196610:QTX196630 RDT196610:RDT196630 RNP196610:RNP196630 RXL196610:RXL196630 SHH196610:SHH196630 SRD196610:SRD196630 TAZ196610:TAZ196630 TKV196610:TKV196630 TUR196610:TUR196630 UEN196610:UEN196630 UOJ196610:UOJ196630 UYF196610:UYF196630 VIB196610:VIB196630 VRX196610:VRX196630 WBT196610:WBT196630 WLP196610:WLP196630 WVL196610:WVL196630 D262146:D262166 IZ262146:IZ262166 SV262146:SV262166 ACR262146:ACR262166 AMN262146:AMN262166 AWJ262146:AWJ262166 BGF262146:BGF262166 BQB262146:BQB262166 BZX262146:BZX262166 CJT262146:CJT262166 CTP262146:CTP262166 DDL262146:DDL262166 DNH262146:DNH262166 DXD262146:DXD262166 EGZ262146:EGZ262166 EQV262146:EQV262166 FAR262146:FAR262166 FKN262146:FKN262166 FUJ262146:FUJ262166 GEF262146:GEF262166 GOB262146:GOB262166 GXX262146:GXX262166 HHT262146:HHT262166 HRP262146:HRP262166 IBL262146:IBL262166 ILH262146:ILH262166 IVD262146:IVD262166 JEZ262146:JEZ262166 JOV262146:JOV262166 JYR262146:JYR262166 KIN262146:KIN262166 KSJ262146:KSJ262166 LCF262146:LCF262166 LMB262146:LMB262166 LVX262146:LVX262166 MFT262146:MFT262166 MPP262146:MPP262166 MZL262146:MZL262166 NJH262146:NJH262166 NTD262146:NTD262166 OCZ262146:OCZ262166 OMV262146:OMV262166 OWR262146:OWR262166 PGN262146:PGN262166 PQJ262146:PQJ262166 QAF262146:QAF262166 QKB262146:QKB262166 QTX262146:QTX262166 RDT262146:RDT262166 RNP262146:RNP262166 RXL262146:RXL262166 SHH262146:SHH262166 SRD262146:SRD262166 TAZ262146:TAZ262166 TKV262146:TKV262166 TUR262146:TUR262166 UEN262146:UEN262166 UOJ262146:UOJ262166 UYF262146:UYF262166 VIB262146:VIB262166 VRX262146:VRX262166 WBT262146:WBT262166 WLP262146:WLP262166 WVL262146:WVL262166 D327682:D327702 IZ327682:IZ327702 SV327682:SV327702 ACR327682:ACR327702 AMN327682:AMN327702 AWJ327682:AWJ327702 BGF327682:BGF327702 BQB327682:BQB327702 BZX327682:BZX327702 CJT327682:CJT327702 CTP327682:CTP327702 DDL327682:DDL327702 DNH327682:DNH327702 DXD327682:DXD327702 EGZ327682:EGZ327702 EQV327682:EQV327702 FAR327682:FAR327702 FKN327682:FKN327702 FUJ327682:FUJ327702 GEF327682:GEF327702 GOB327682:GOB327702 GXX327682:GXX327702 HHT327682:HHT327702 HRP327682:HRP327702 IBL327682:IBL327702 ILH327682:ILH327702 IVD327682:IVD327702 JEZ327682:JEZ327702 JOV327682:JOV327702 JYR327682:JYR327702 KIN327682:KIN327702 KSJ327682:KSJ327702 LCF327682:LCF327702 LMB327682:LMB327702 LVX327682:LVX327702 MFT327682:MFT327702 MPP327682:MPP327702 MZL327682:MZL327702 NJH327682:NJH327702 NTD327682:NTD327702 OCZ327682:OCZ327702 OMV327682:OMV327702 OWR327682:OWR327702 PGN327682:PGN327702 PQJ327682:PQJ327702 QAF327682:QAF327702 QKB327682:QKB327702 QTX327682:QTX327702 RDT327682:RDT327702 RNP327682:RNP327702 RXL327682:RXL327702 SHH327682:SHH327702 SRD327682:SRD327702 TAZ327682:TAZ327702 TKV327682:TKV327702 TUR327682:TUR327702 UEN327682:UEN327702 UOJ327682:UOJ327702 UYF327682:UYF327702 VIB327682:VIB327702 VRX327682:VRX327702 WBT327682:WBT327702 WLP327682:WLP327702 WVL327682:WVL327702 D393218:D393238 IZ393218:IZ393238 SV393218:SV393238 ACR393218:ACR393238 AMN393218:AMN393238 AWJ393218:AWJ393238 BGF393218:BGF393238 BQB393218:BQB393238 BZX393218:BZX393238 CJT393218:CJT393238 CTP393218:CTP393238 DDL393218:DDL393238 DNH393218:DNH393238 DXD393218:DXD393238 EGZ393218:EGZ393238 EQV393218:EQV393238 FAR393218:FAR393238 FKN393218:FKN393238 FUJ393218:FUJ393238 GEF393218:GEF393238 GOB393218:GOB393238 GXX393218:GXX393238 HHT393218:HHT393238 HRP393218:HRP393238 IBL393218:IBL393238 ILH393218:ILH393238 IVD393218:IVD393238 JEZ393218:JEZ393238 JOV393218:JOV393238 JYR393218:JYR393238 KIN393218:KIN393238 KSJ393218:KSJ393238 LCF393218:LCF393238 LMB393218:LMB393238 LVX393218:LVX393238 MFT393218:MFT393238 MPP393218:MPP393238 MZL393218:MZL393238 NJH393218:NJH393238 NTD393218:NTD393238 OCZ393218:OCZ393238 OMV393218:OMV393238 OWR393218:OWR393238 PGN393218:PGN393238 PQJ393218:PQJ393238 QAF393218:QAF393238 QKB393218:QKB393238 QTX393218:QTX393238 RDT393218:RDT393238 RNP393218:RNP393238 RXL393218:RXL393238 SHH393218:SHH393238 SRD393218:SRD393238 TAZ393218:TAZ393238 TKV393218:TKV393238 TUR393218:TUR393238 UEN393218:UEN393238 UOJ393218:UOJ393238 UYF393218:UYF393238 VIB393218:VIB393238 VRX393218:VRX393238 WBT393218:WBT393238 WLP393218:WLP393238 WVL393218:WVL393238 D458754:D458774 IZ458754:IZ458774 SV458754:SV458774 ACR458754:ACR458774 AMN458754:AMN458774 AWJ458754:AWJ458774 BGF458754:BGF458774 BQB458754:BQB458774 BZX458754:BZX458774 CJT458754:CJT458774 CTP458754:CTP458774 DDL458754:DDL458774 DNH458754:DNH458774 DXD458754:DXD458774 EGZ458754:EGZ458774 EQV458754:EQV458774 FAR458754:FAR458774 FKN458754:FKN458774 FUJ458754:FUJ458774 GEF458754:GEF458774 GOB458754:GOB458774 GXX458754:GXX458774 HHT458754:HHT458774 HRP458754:HRP458774 IBL458754:IBL458774 ILH458754:ILH458774 IVD458754:IVD458774 JEZ458754:JEZ458774 JOV458754:JOV458774 JYR458754:JYR458774 KIN458754:KIN458774 KSJ458754:KSJ458774 LCF458754:LCF458774 LMB458754:LMB458774 LVX458754:LVX458774 MFT458754:MFT458774 MPP458754:MPP458774 MZL458754:MZL458774 NJH458754:NJH458774 NTD458754:NTD458774 OCZ458754:OCZ458774 OMV458754:OMV458774 OWR458754:OWR458774 PGN458754:PGN458774 PQJ458754:PQJ458774 QAF458754:QAF458774 QKB458754:QKB458774 QTX458754:QTX458774 RDT458754:RDT458774 RNP458754:RNP458774 RXL458754:RXL458774 SHH458754:SHH458774 SRD458754:SRD458774 TAZ458754:TAZ458774 TKV458754:TKV458774 TUR458754:TUR458774 UEN458754:UEN458774 UOJ458754:UOJ458774 UYF458754:UYF458774 VIB458754:VIB458774 VRX458754:VRX458774 WBT458754:WBT458774 WLP458754:WLP458774 WVL458754:WVL458774 D524290:D524310 IZ524290:IZ524310 SV524290:SV524310 ACR524290:ACR524310 AMN524290:AMN524310 AWJ524290:AWJ524310 BGF524290:BGF524310 BQB524290:BQB524310 BZX524290:BZX524310 CJT524290:CJT524310 CTP524290:CTP524310 DDL524290:DDL524310 DNH524290:DNH524310 DXD524290:DXD524310 EGZ524290:EGZ524310 EQV524290:EQV524310 FAR524290:FAR524310 FKN524290:FKN524310 FUJ524290:FUJ524310 GEF524290:GEF524310 GOB524290:GOB524310 GXX524290:GXX524310 HHT524290:HHT524310 HRP524290:HRP524310 IBL524290:IBL524310 ILH524290:ILH524310 IVD524290:IVD524310 JEZ524290:JEZ524310 JOV524290:JOV524310 JYR524290:JYR524310 KIN524290:KIN524310 KSJ524290:KSJ524310 LCF524290:LCF524310 LMB524290:LMB524310 LVX524290:LVX524310 MFT524290:MFT524310 MPP524290:MPP524310 MZL524290:MZL524310 NJH524290:NJH524310 NTD524290:NTD524310 OCZ524290:OCZ524310 OMV524290:OMV524310 OWR524290:OWR524310 PGN524290:PGN524310 PQJ524290:PQJ524310 QAF524290:QAF524310 QKB524290:QKB524310 QTX524290:QTX524310 RDT524290:RDT524310 RNP524290:RNP524310 RXL524290:RXL524310 SHH524290:SHH524310 SRD524290:SRD524310 TAZ524290:TAZ524310 TKV524290:TKV524310 TUR524290:TUR524310 UEN524290:UEN524310 UOJ524290:UOJ524310 UYF524290:UYF524310 VIB524290:VIB524310 VRX524290:VRX524310 WBT524290:WBT524310 WLP524290:WLP524310 WVL524290:WVL524310 D589826:D589846 IZ589826:IZ589846 SV589826:SV589846 ACR589826:ACR589846 AMN589826:AMN589846 AWJ589826:AWJ589846 BGF589826:BGF589846 BQB589826:BQB589846 BZX589826:BZX589846 CJT589826:CJT589846 CTP589826:CTP589846 DDL589826:DDL589846 DNH589826:DNH589846 DXD589826:DXD589846 EGZ589826:EGZ589846 EQV589826:EQV589846 FAR589826:FAR589846 FKN589826:FKN589846 FUJ589826:FUJ589846 GEF589826:GEF589846 GOB589826:GOB589846 GXX589826:GXX589846 HHT589826:HHT589846 HRP589826:HRP589846 IBL589826:IBL589846 ILH589826:ILH589846 IVD589826:IVD589846 JEZ589826:JEZ589846 JOV589826:JOV589846 JYR589826:JYR589846 KIN589826:KIN589846 KSJ589826:KSJ589846 LCF589826:LCF589846 LMB589826:LMB589846 LVX589826:LVX589846 MFT589826:MFT589846 MPP589826:MPP589846 MZL589826:MZL589846 NJH589826:NJH589846 NTD589826:NTD589846 OCZ589826:OCZ589846 OMV589826:OMV589846 OWR589826:OWR589846 PGN589826:PGN589846 PQJ589826:PQJ589846 QAF589826:QAF589846 QKB589826:QKB589846 QTX589826:QTX589846 RDT589826:RDT589846 RNP589826:RNP589846 RXL589826:RXL589846 SHH589826:SHH589846 SRD589826:SRD589846 TAZ589826:TAZ589846 TKV589826:TKV589846 TUR589826:TUR589846 UEN589826:UEN589846 UOJ589826:UOJ589846 UYF589826:UYF589846 VIB589826:VIB589846 VRX589826:VRX589846 WBT589826:WBT589846 WLP589826:WLP589846 WVL589826:WVL589846 D655362:D655382 IZ655362:IZ655382 SV655362:SV655382 ACR655362:ACR655382 AMN655362:AMN655382 AWJ655362:AWJ655382 BGF655362:BGF655382 BQB655362:BQB655382 BZX655362:BZX655382 CJT655362:CJT655382 CTP655362:CTP655382 DDL655362:DDL655382 DNH655362:DNH655382 DXD655362:DXD655382 EGZ655362:EGZ655382 EQV655362:EQV655382 FAR655362:FAR655382 FKN655362:FKN655382 FUJ655362:FUJ655382 GEF655362:GEF655382 GOB655362:GOB655382 GXX655362:GXX655382 HHT655362:HHT655382 HRP655362:HRP655382 IBL655362:IBL655382 ILH655362:ILH655382 IVD655362:IVD655382 JEZ655362:JEZ655382 JOV655362:JOV655382 JYR655362:JYR655382 KIN655362:KIN655382 KSJ655362:KSJ655382 LCF655362:LCF655382 LMB655362:LMB655382 LVX655362:LVX655382 MFT655362:MFT655382 MPP655362:MPP655382 MZL655362:MZL655382 NJH655362:NJH655382 NTD655362:NTD655382 OCZ655362:OCZ655382 OMV655362:OMV655382 OWR655362:OWR655382 PGN655362:PGN655382 PQJ655362:PQJ655382 QAF655362:QAF655382 QKB655362:QKB655382 QTX655362:QTX655382 RDT655362:RDT655382 RNP655362:RNP655382 RXL655362:RXL655382 SHH655362:SHH655382 SRD655362:SRD655382 TAZ655362:TAZ655382 TKV655362:TKV655382 TUR655362:TUR655382 UEN655362:UEN655382 UOJ655362:UOJ655382 UYF655362:UYF655382 VIB655362:VIB655382 VRX655362:VRX655382 WBT655362:WBT655382 WLP655362:WLP655382 WVL655362:WVL655382 D720898:D720918 IZ720898:IZ720918 SV720898:SV720918 ACR720898:ACR720918 AMN720898:AMN720918 AWJ720898:AWJ720918 BGF720898:BGF720918 BQB720898:BQB720918 BZX720898:BZX720918 CJT720898:CJT720918 CTP720898:CTP720918 DDL720898:DDL720918 DNH720898:DNH720918 DXD720898:DXD720918 EGZ720898:EGZ720918 EQV720898:EQV720918 FAR720898:FAR720918 FKN720898:FKN720918 FUJ720898:FUJ720918 GEF720898:GEF720918 GOB720898:GOB720918 GXX720898:GXX720918 HHT720898:HHT720918 HRP720898:HRP720918 IBL720898:IBL720918 ILH720898:ILH720918 IVD720898:IVD720918 JEZ720898:JEZ720918 JOV720898:JOV720918 JYR720898:JYR720918 KIN720898:KIN720918 KSJ720898:KSJ720918 LCF720898:LCF720918 LMB720898:LMB720918 LVX720898:LVX720918 MFT720898:MFT720918 MPP720898:MPP720918 MZL720898:MZL720918 NJH720898:NJH720918 NTD720898:NTD720918 OCZ720898:OCZ720918 OMV720898:OMV720918 OWR720898:OWR720918 PGN720898:PGN720918 PQJ720898:PQJ720918 QAF720898:QAF720918 QKB720898:QKB720918 QTX720898:QTX720918 RDT720898:RDT720918 RNP720898:RNP720918 RXL720898:RXL720918 SHH720898:SHH720918 SRD720898:SRD720918 TAZ720898:TAZ720918 TKV720898:TKV720918 TUR720898:TUR720918 UEN720898:UEN720918 UOJ720898:UOJ720918 UYF720898:UYF720918 VIB720898:VIB720918 VRX720898:VRX720918 WBT720898:WBT720918 WLP720898:WLP720918 WVL720898:WVL720918 D786434:D786454 IZ786434:IZ786454 SV786434:SV786454 ACR786434:ACR786454 AMN786434:AMN786454 AWJ786434:AWJ786454 BGF786434:BGF786454 BQB786434:BQB786454 BZX786434:BZX786454 CJT786434:CJT786454 CTP786434:CTP786454 DDL786434:DDL786454 DNH786434:DNH786454 DXD786434:DXD786454 EGZ786434:EGZ786454 EQV786434:EQV786454 FAR786434:FAR786454 FKN786434:FKN786454 FUJ786434:FUJ786454 GEF786434:GEF786454 GOB786434:GOB786454 GXX786434:GXX786454 HHT786434:HHT786454 HRP786434:HRP786454 IBL786434:IBL786454 ILH786434:ILH786454 IVD786434:IVD786454 JEZ786434:JEZ786454 JOV786434:JOV786454 JYR786434:JYR786454 KIN786434:KIN786454 KSJ786434:KSJ786454 LCF786434:LCF786454 LMB786434:LMB786454 LVX786434:LVX786454 MFT786434:MFT786454 MPP786434:MPP786454 MZL786434:MZL786454 NJH786434:NJH786454 NTD786434:NTD786454 OCZ786434:OCZ786454 OMV786434:OMV786454 OWR786434:OWR786454 PGN786434:PGN786454 PQJ786434:PQJ786454 QAF786434:QAF786454 QKB786434:QKB786454 QTX786434:QTX786454 RDT786434:RDT786454 RNP786434:RNP786454 RXL786434:RXL786454 SHH786434:SHH786454 SRD786434:SRD786454 TAZ786434:TAZ786454 TKV786434:TKV786454 TUR786434:TUR786454 UEN786434:UEN786454 UOJ786434:UOJ786454 UYF786434:UYF786454 VIB786434:VIB786454 VRX786434:VRX786454 WBT786434:WBT786454 WLP786434:WLP786454 WVL786434:WVL786454 D851970:D851990 IZ851970:IZ851990 SV851970:SV851990 ACR851970:ACR851990 AMN851970:AMN851990 AWJ851970:AWJ851990 BGF851970:BGF851990 BQB851970:BQB851990 BZX851970:BZX851990 CJT851970:CJT851990 CTP851970:CTP851990 DDL851970:DDL851990 DNH851970:DNH851990 DXD851970:DXD851990 EGZ851970:EGZ851990 EQV851970:EQV851990 FAR851970:FAR851990 FKN851970:FKN851990 FUJ851970:FUJ851990 GEF851970:GEF851990 GOB851970:GOB851990 GXX851970:GXX851990 HHT851970:HHT851990 HRP851970:HRP851990 IBL851970:IBL851990 ILH851970:ILH851990 IVD851970:IVD851990 JEZ851970:JEZ851990 JOV851970:JOV851990 JYR851970:JYR851990 KIN851970:KIN851990 KSJ851970:KSJ851990 LCF851970:LCF851990 LMB851970:LMB851990 LVX851970:LVX851990 MFT851970:MFT851990 MPP851970:MPP851990 MZL851970:MZL851990 NJH851970:NJH851990 NTD851970:NTD851990 OCZ851970:OCZ851990 OMV851970:OMV851990 OWR851970:OWR851990 PGN851970:PGN851990 PQJ851970:PQJ851990 QAF851970:QAF851990 QKB851970:QKB851990 QTX851970:QTX851990 RDT851970:RDT851990 RNP851970:RNP851990 RXL851970:RXL851990 SHH851970:SHH851990 SRD851970:SRD851990 TAZ851970:TAZ851990 TKV851970:TKV851990 TUR851970:TUR851990 UEN851970:UEN851990 UOJ851970:UOJ851990 UYF851970:UYF851990 VIB851970:VIB851990 VRX851970:VRX851990 WBT851970:WBT851990 WLP851970:WLP851990 WVL851970:WVL851990 D917506:D917526 IZ917506:IZ917526 SV917506:SV917526 ACR917506:ACR917526 AMN917506:AMN917526 AWJ917506:AWJ917526 BGF917506:BGF917526 BQB917506:BQB917526 BZX917506:BZX917526 CJT917506:CJT917526 CTP917506:CTP917526 DDL917506:DDL917526 DNH917506:DNH917526 DXD917506:DXD917526 EGZ917506:EGZ917526 EQV917506:EQV917526 FAR917506:FAR917526 FKN917506:FKN917526 FUJ917506:FUJ917526 GEF917506:GEF917526 GOB917506:GOB917526 GXX917506:GXX917526 HHT917506:HHT917526 HRP917506:HRP917526 IBL917506:IBL917526 ILH917506:ILH917526 IVD917506:IVD917526 JEZ917506:JEZ917526 JOV917506:JOV917526 JYR917506:JYR917526 KIN917506:KIN917526 KSJ917506:KSJ917526 LCF917506:LCF917526 LMB917506:LMB917526 LVX917506:LVX917526 MFT917506:MFT917526 MPP917506:MPP917526 MZL917506:MZL917526 NJH917506:NJH917526 NTD917506:NTD917526 OCZ917506:OCZ917526 OMV917506:OMV917526 OWR917506:OWR917526 PGN917506:PGN917526 PQJ917506:PQJ917526 QAF917506:QAF917526 QKB917506:QKB917526 QTX917506:QTX917526 RDT917506:RDT917526 RNP917506:RNP917526 RXL917506:RXL917526 SHH917506:SHH917526 SRD917506:SRD917526 TAZ917506:TAZ917526 TKV917506:TKV917526 TUR917506:TUR917526 UEN917506:UEN917526 UOJ917506:UOJ917526 UYF917506:UYF917526 VIB917506:VIB917526 VRX917506:VRX917526 WBT917506:WBT917526 WLP917506:WLP917526 WVL917506:WVL917526 D983042:D983062 IZ983042:IZ983062 SV983042:SV983062 ACR983042:ACR983062 AMN983042:AMN983062 AWJ983042:AWJ983062 BGF983042:BGF983062 BQB983042:BQB983062 BZX983042:BZX983062 CJT983042:CJT983062 CTP983042:CTP983062 DDL983042:DDL983062 DNH983042:DNH983062 DXD983042:DXD983062 EGZ983042:EGZ983062 EQV983042:EQV983062 FAR983042:FAR983062 FKN983042:FKN983062 FUJ983042:FUJ983062 GEF983042:GEF983062 GOB983042:GOB983062 GXX983042:GXX983062 HHT983042:HHT983062 HRP983042:HRP983062 IBL983042:IBL983062 ILH983042:ILH983062 IVD983042:IVD983062 JEZ983042:JEZ983062 JOV983042:JOV983062 JYR983042:JYR983062 KIN983042:KIN983062 KSJ983042:KSJ983062 LCF983042:LCF983062 LMB983042:LMB983062 LVX983042:LVX983062 MFT983042:MFT983062 MPP983042:MPP983062 MZL983042:MZL983062 NJH983042:NJH983062 NTD983042:NTD983062 OCZ983042:OCZ983062 OMV983042:OMV983062 OWR983042:OWR983062 PGN983042:PGN983062 PQJ983042:PQJ983062 QAF983042:QAF983062 QKB983042:QKB983062 QTX983042:QTX983062 RDT983042:RDT983062 RNP983042:RNP983062 RXL983042:RXL983062 SHH983042:SHH983062 SRD983042:SRD983062 TAZ983042:TAZ983062 TKV983042:TKV983062 TUR983042:TUR983062 UEN983042:UEN983062 UOJ983042:UOJ983062 UYF983042:UYF983062 VIB983042:VIB983062 VRX983042:VRX983062 WBT983042:WBT983062 WLP983042:WLP983062 WVL983042:WVL983062">
      <formula1>38718</formula1>
      <formula2>39447</formula2>
    </dataValidation>
    <dataValidation type="decimal" errorStyle="warning" allowBlank="1" showInputMessage="1" showErrorMessage="1" error="Your percent is outside the range -100% to 100%" prompt="Please enter the percentage change from last year's budget" sqref="C2:C22 IY2:IY22 SU2:SU22 ACQ2:ACQ22 AMM2:AMM22 AWI2:AWI22 BGE2:BGE22 BQA2:BQA22 BZW2:BZW22 CJS2:CJS22 CTO2:CTO22 DDK2:DDK22 DNG2:DNG22 DXC2:DXC22 EGY2:EGY22 EQU2:EQU22 FAQ2:FAQ22 FKM2:FKM22 FUI2:FUI22 GEE2:GEE22 GOA2:GOA22 GXW2:GXW22 HHS2:HHS22 HRO2:HRO22 IBK2:IBK22 ILG2:ILG22 IVC2:IVC22 JEY2:JEY22 JOU2:JOU22 JYQ2:JYQ22 KIM2:KIM22 KSI2:KSI22 LCE2:LCE22 LMA2:LMA22 LVW2:LVW22 MFS2:MFS22 MPO2:MPO22 MZK2:MZK22 NJG2:NJG22 NTC2:NTC22 OCY2:OCY22 OMU2:OMU22 OWQ2:OWQ22 PGM2:PGM22 PQI2:PQI22 QAE2:QAE22 QKA2:QKA22 QTW2:QTW22 RDS2:RDS22 RNO2:RNO22 RXK2:RXK22 SHG2:SHG22 SRC2:SRC22 TAY2:TAY22 TKU2:TKU22 TUQ2:TUQ22 UEM2:UEM22 UOI2:UOI22 UYE2:UYE22 VIA2:VIA22 VRW2:VRW22 WBS2:WBS22 WLO2:WLO22 WVK2:WVK22 C65538:C65558 IY65538:IY65558 SU65538:SU65558 ACQ65538:ACQ65558 AMM65538:AMM65558 AWI65538:AWI65558 BGE65538:BGE65558 BQA65538:BQA65558 BZW65538:BZW65558 CJS65538:CJS65558 CTO65538:CTO65558 DDK65538:DDK65558 DNG65538:DNG65558 DXC65538:DXC65558 EGY65538:EGY65558 EQU65538:EQU65558 FAQ65538:FAQ65558 FKM65538:FKM65558 FUI65538:FUI65558 GEE65538:GEE65558 GOA65538:GOA65558 GXW65538:GXW65558 HHS65538:HHS65558 HRO65538:HRO65558 IBK65538:IBK65558 ILG65538:ILG65558 IVC65538:IVC65558 JEY65538:JEY65558 JOU65538:JOU65558 JYQ65538:JYQ65558 KIM65538:KIM65558 KSI65538:KSI65558 LCE65538:LCE65558 LMA65538:LMA65558 LVW65538:LVW65558 MFS65538:MFS65558 MPO65538:MPO65558 MZK65538:MZK65558 NJG65538:NJG65558 NTC65538:NTC65558 OCY65538:OCY65558 OMU65538:OMU65558 OWQ65538:OWQ65558 PGM65538:PGM65558 PQI65538:PQI65558 QAE65538:QAE65558 QKA65538:QKA65558 QTW65538:QTW65558 RDS65538:RDS65558 RNO65538:RNO65558 RXK65538:RXK65558 SHG65538:SHG65558 SRC65538:SRC65558 TAY65538:TAY65558 TKU65538:TKU65558 TUQ65538:TUQ65558 UEM65538:UEM65558 UOI65538:UOI65558 UYE65538:UYE65558 VIA65538:VIA65558 VRW65538:VRW65558 WBS65538:WBS65558 WLO65538:WLO65558 WVK65538:WVK65558 C131074:C131094 IY131074:IY131094 SU131074:SU131094 ACQ131074:ACQ131094 AMM131074:AMM131094 AWI131074:AWI131094 BGE131074:BGE131094 BQA131074:BQA131094 BZW131074:BZW131094 CJS131074:CJS131094 CTO131074:CTO131094 DDK131074:DDK131094 DNG131074:DNG131094 DXC131074:DXC131094 EGY131074:EGY131094 EQU131074:EQU131094 FAQ131074:FAQ131094 FKM131074:FKM131094 FUI131074:FUI131094 GEE131074:GEE131094 GOA131074:GOA131094 GXW131074:GXW131094 HHS131074:HHS131094 HRO131074:HRO131094 IBK131074:IBK131094 ILG131074:ILG131094 IVC131074:IVC131094 JEY131074:JEY131094 JOU131074:JOU131094 JYQ131074:JYQ131094 KIM131074:KIM131094 KSI131074:KSI131094 LCE131074:LCE131094 LMA131074:LMA131094 LVW131074:LVW131094 MFS131074:MFS131094 MPO131074:MPO131094 MZK131074:MZK131094 NJG131074:NJG131094 NTC131074:NTC131094 OCY131074:OCY131094 OMU131074:OMU131094 OWQ131074:OWQ131094 PGM131074:PGM131094 PQI131074:PQI131094 QAE131074:QAE131094 QKA131074:QKA131094 QTW131074:QTW131094 RDS131074:RDS131094 RNO131074:RNO131094 RXK131074:RXK131094 SHG131074:SHG131094 SRC131074:SRC131094 TAY131074:TAY131094 TKU131074:TKU131094 TUQ131074:TUQ131094 UEM131074:UEM131094 UOI131074:UOI131094 UYE131074:UYE131094 VIA131074:VIA131094 VRW131074:VRW131094 WBS131074:WBS131094 WLO131074:WLO131094 WVK131074:WVK131094 C196610:C196630 IY196610:IY196630 SU196610:SU196630 ACQ196610:ACQ196630 AMM196610:AMM196630 AWI196610:AWI196630 BGE196610:BGE196630 BQA196610:BQA196630 BZW196610:BZW196630 CJS196610:CJS196630 CTO196610:CTO196630 DDK196610:DDK196630 DNG196610:DNG196630 DXC196610:DXC196630 EGY196610:EGY196630 EQU196610:EQU196630 FAQ196610:FAQ196630 FKM196610:FKM196630 FUI196610:FUI196630 GEE196610:GEE196630 GOA196610:GOA196630 GXW196610:GXW196630 HHS196610:HHS196630 HRO196610:HRO196630 IBK196610:IBK196630 ILG196610:ILG196630 IVC196610:IVC196630 JEY196610:JEY196630 JOU196610:JOU196630 JYQ196610:JYQ196630 KIM196610:KIM196630 KSI196610:KSI196630 LCE196610:LCE196630 LMA196610:LMA196630 LVW196610:LVW196630 MFS196610:MFS196630 MPO196610:MPO196630 MZK196610:MZK196630 NJG196610:NJG196630 NTC196610:NTC196630 OCY196610:OCY196630 OMU196610:OMU196630 OWQ196610:OWQ196630 PGM196610:PGM196630 PQI196610:PQI196630 QAE196610:QAE196630 QKA196610:QKA196630 QTW196610:QTW196630 RDS196610:RDS196630 RNO196610:RNO196630 RXK196610:RXK196630 SHG196610:SHG196630 SRC196610:SRC196630 TAY196610:TAY196630 TKU196610:TKU196630 TUQ196610:TUQ196630 UEM196610:UEM196630 UOI196610:UOI196630 UYE196610:UYE196630 VIA196610:VIA196630 VRW196610:VRW196630 WBS196610:WBS196630 WLO196610:WLO196630 WVK196610:WVK196630 C262146:C262166 IY262146:IY262166 SU262146:SU262166 ACQ262146:ACQ262166 AMM262146:AMM262166 AWI262146:AWI262166 BGE262146:BGE262166 BQA262146:BQA262166 BZW262146:BZW262166 CJS262146:CJS262166 CTO262146:CTO262166 DDK262146:DDK262166 DNG262146:DNG262166 DXC262146:DXC262166 EGY262146:EGY262166 EQU262146:EQU262166 FAQ262146:FAQ262166 FKM262146:FKM262166 FUI262146:FUI262166 GEE262146:GEE262166 GOA262146:GOA262166 GXW262146:GXW262166 HHS262146:HHS262166 HRO262146:HRO262166 IBK262146:IBK262166 ILG262146:ILG262166 IVC262146:IVC262166 JEY262146:JEY262166 JOU262146:JOU262166 JYQ262146:JYQ262166 KIM262146:KIM262166 KSI262146:KSI262166 LCE262146:LCE262166 LMA262146:LMA262166 LVW262146:LVW262166 MFS262146:MFS262166 MPO262146:MPO262166 MZK262146:MZK262166 NJG262146:NJG262166 NTC262146:NTC262166 OCY262146:OCY262166 OMU262146:OMU262166 OWQ262146:OWQ262166 PGM262146:PGM262166 PQI262146:PQI262166 QAE262146:QAE262166 QKA262146:QKA262166 QTW262146:QTW262166 RDS262146:RDS262166 RNO262146:RNO262166 RXK262146:RXK262166 SHG262146:SHG262166 SRC262146:SRC262166 TAY262146:TAY262166 TKU262146:TKU262166 TUQ262146:TUQ262166 UEM262146:UEM262166 UOI262146:UOI262166 UYE262146:UYE262166 VIA262146:VIA262166 VRW262146:VRW262166 WBS262146:WBS262166 WLO262146:WLO262166 WVK262146:WVK262166 C327682:C327702 IY327682:IY327702 SU327682:SU327702 ACQ327682:ACQ327702 AMM327682:AMM327702 AWI327682:AWI327702 BGE327682:BGE327702 BQA327682:BQA327702 BZW327682:BZW327702 CJS327682:CJS327702 CTO327682:CTO327702 DDK327682:DDK327702 DNG327682:DNG327702 DXC327682:DXC327702 EGY327682:EGY327702 EQU327682:EQU327702 FAQ327682:FAQ327702 FKM327682:FKM327702 FUI327682:FUI327702 GEE327682:GEE327702 GOA327682:GOA327702 GXW327682:GXW327702 HHS327682:HHS327702 HRO327682:HRO327702 IBK327682:IBK327702 ILG327682:ILG327702 IVC327682:IVC327702 JEY327682:JEY327702 JOU327682:JOU327702 JYQ327682:JYQ327702 KIM327682:KIM327702 KSI327682:KSI327702 LCE327682:LCE327702 LMA327682:LMA327702 LVW327682:LVW327702 MFS327682:MFS327702 MPO327682:MPO327702 MZK327682:MZK327702 NJG327682:NJG327702 NTC327682:NTC327702 OCY327682:OCY327702 OMU327682:OMU327702 OWQ327682:OWQ327702 PGM327682:PGM327702 PQI327682:PQI327702 QAE327682:QAE327702 QKA327682:QKA327702 QTW327682:QTW327702 RDS327682:RDS327702 RNO327682:RNO327702 RXK327682:RXK327702 SHG327682:SHG327702 SRC327682:SRC327702 TAY327682:TAY327702 TKU327682:TKU327702 TUQ327682:TUQ327702 UEM327682:UEM327702 UOI327682:UOI327702 UYE327682:UYE327702 VIA327682:VIA327702 VRW327682:VRW327702 WBS327682:WBS327702 WLO327682:WLO327702 WVK327682:WVK327702 C393218:C393238 IY393218:IY393238 SU393218:SU393238 ACQ393218:ACQ393238 AMM393218:AMM393238 AWI393218:AWI393238 BGE393218:BGE393238 BQA393218:BQA393238 BZW393218:BZW393238 CJS393218:CJS393238 CTO393218:CTO393238 DDK393218:DDK393238 DNG393218:DNG393238 DXC393218:DXC393238 EGY393218:EGY393238 EQU393218:EQU393238 FAQ393218:FAQ393238 FKM393218:FKM393238 FUI393218:FUI393238 GEE393218:GEE393238 GOA393218:GOA393238 GXW393218:GXW393238 HHS393218:HHS393238 HRO393218:HRO393238 IBK393218:IBK393238 ILG393218:ILG393238 IVC393218:IVC393238 JEY393218:JEY393238 JOU393218:JOU393238 JYQ393218:JYQ393238 KIM393218:KIM393238 KSI393218:KSI393238 LCE393218:LCE393238 LMA393218:LMA393238 LVW393218:LVW393238 MFS393218:MFS393238 MPO393218:MPO393238 MZK393218:MZK393238 NJG393218:NJG393238 NTC393218:NTC393238 OCY393218:OCY393238 OMU393218:OMU393238 OWQ393218:OWQ393238 PGM393218:PGM393238 PQI393218:PQI393238 QAE393218:QAE393238 QKA393218:QKA393238 QTW393218:QTW393238 RDS393218:RDS393238 RNO393218:RNO393238 RXK393218:RXK393238 SHG393218:SHG393238 SRC393218:SRC393238 TAY393218:TAY393238 TKU393218:TKU393238 TUQ393218:TUQ393238 UEM393218:UEM393238 UOI393218:UOI393238 UYE393218:UYE393238 VIA393218:VIA393238 VRW393218:VRW393238 WBS393218:WBS393238 WLO393218:WLO393238 WVK393218:WVK393238 C458754:C458774 IY458754:IY458774 SU458754:SU458774 ACQ458754:ACQ458774 AMM458754:AMM458774 AWI458754:AWI458774 BGE458754:BGE458774 BQA458754:BQA458774 BZW458754:BZW458774 CJS458754:CJS458774 CTO458754:CTO458774 DDK458754:DDK458774 DNG458754:DNG458774 DXC458754:DXC458774 EGY458754:EGY458774 EQU458754:EQU458774 FAQ458754:FAQ458774 FKM458754:FKM458774 FUI458754:FUI458774 GEE458754:GEE458774 GOA458754:GOA458774 GXW458754:GXW458774 HHS458754:HHS458774 HRO458754:HRO458774 IBK458754:IBK458774 ILG458754:ILG458774 IVC458754:IVC458774 JEY458754:JEY458774 JOU458754:JOU458774 JYQ458754:JYQ458774 KIM458754:KIM458774 KSI458754:KSI458774 LCE458754:LCE458774 LMA458754:LMA458774 LVW458754:LVW458774 MFS458754:MFS458774 MPO458754:MPO458774 MZK458754:MZK458774 NJG458754:NJG458774 NTC458754:NTC458774 OCY458754:OCY458774 OMU458754:OMU458774 OWQ458754:OWQ458774 PGM458754:PGM458774 PQI458754:PQI458774 QAE458754:QAE458774 QKA458754:QKA458774 QTW458754:QTW458774 RDS458754:RDS458774 RNO458754:RNO458774 RXK458754:RXK458774 SHG458754:SHG458774 SRC458754:SRC458774 TAY458754:TAY458774 TKU458754:TKU458774 TUQ458754:TUQ458774 UEM458754:UEM458774 UOI458754:UOI458774 UYE458754:UYE458774 VIA458754:VIA458774 VRW458754:VRW458774 WBS458754:WBS458774 WLO458754:WLO458774 WVK458754:WVK458774 C524290:C524310 IY524290:IY524310 SU524290:SU524310 ACQ524290:ACQ524310 AMM524290:AMM524310 AWI524290:AWI524310 BGE524290:BGE524310 BQA524290:BQA524310 BZW524290:BZW524310 CJS524290:CJS524310 CTO524290:CTO524310 DDK524290:DDK524310 DNG524290:DNG524310 DXC524290:DXC524310 EGY524290:EGY524310 EQU524290:EQU524310 FAQ524290:FAQ524310 FKM524290:FKM524310 FUI524290:FUI524310 GEE524290:GEE524310 GOA524290:GOA524310 GXW524290:GXW524310 HHS524290:HHS524310 HRO524290:HRO524310 IBK524290:IBK524310 ILG524290:ILG524310 IVC524290:IVC524310 JEY524290:JEY524310 JOU524290:JOU524310 JYQ524290:JYQ524310 KIM524290:KIM524310 KSI524290:KSI524310 LCE524290:LCE524310 LMA524290:LMA524310 LVW524290:LVW524310 MFS524290:MFS524310 MPO524290:MPO524310 MZK524290:MZK524310 NJG524290:NJG524310 NTC524290:NTC524310 OCY524290:OCY524310 OMU524290:OMU524310 OWQ524290:OWQ524310 PGM524290:PGM524310 PQI524290:PQI524310 QAE524290:QAE524310 QKA524290:QKA524310 QTW524290:QTW524310 RDS524290:RDS524310 RNO524290:RNO524310 RXK524290:RXK524310 SHG524290:SHG524310 SRC524290:SRC524310 TAY524290:TAY524310 TKU524290:TKU524310 TUQ524290:TUQ524310 UEM524290:UEM524310 UOI524290:UOI524310 UYE524290:UYE524310 VIA524290:VIA524310 VRW524290:VRW524310 WBS524290:WBS524310 WLO524290:WLO524310 WVK524290:WVK524310 C589826:C589846 IY589826:IY589846 SU589826:SU589846 ACQ589826:ACQ589846 AMM589826:AMM589846 AWI589826:AWI589846 BGE589826:BGE589846 BQA589826:BQA589846 BZW589826:BZW589846 CJS589826:CJS589846 CTO589826:CTO589846 DDK589826:DDK589846 DNG589826:DNG589846 DXC589826:DXC589846 EGY589826:EGY589846 EQU589826:EQU589846 FAQ589826:FAQ589846 FKM589826:FKM589846 FUI589826:FUI589846 GEE589826:GEE589846 GOA589826:GOA589846 GXW589826:GXW589846 HHS589826:HHS589846 HRO589826:HRO589846 IBK589826:IBK589846 ILG589826:ILG589846 IVC589826:IVC589846 JEY589826:JEY589846 JOU589826:JOU589846 JYQ589826:JYQ589846 KIM589826:KIM589846 KSI589826:KSI589846 LCE589826:LCE589846 LMA589826:LMA589846 LVW589826:LVW589846 MFS589826:MFS589846 MPO589826:MPO589846 MZK589826:MZK589846 NJG589826:NJG589846 NTC589826:NTC589846 OCY589826:OCY589846 OMU589826:OMU589846 OWQ589826:OWQ589846 PGM589826:PGM589846 PQI589826:PQI589846 QAE589826:QAE589846 QKA589826:QKA589846 QTW589826:QTW589846 RDS589826:RDS589846 RNO589826:RNO589846 RXK589826:RXK589846 SHG589826:SHG589846 SRC589826:SRC589846 TAY589826:TAY589846 TKU589826:TKU589846 TUQ589826:TUQ589846 UEM589826:UEM589846 UOI589826:UOI589846 UYE589826:UYE589846 VIA589826:VIA589846 VRW589826:VRW589846 WBS589826:WBS589846 WLO589826:WLO589846 WVK589826:WVK589846 C655362:C655382 IY655362:IY655382 SU655362:SU655382 ACQ655362:ACQ655382 AMM655362:AMM655382 AWI655362:AWI655382 BGE655362:BGE655382 BQA655362:BQA655382 BZW655362:BZW655382 CJS655362:CJS655382 CTO655362:CTO655382 DDK655362:DDK655382 DNG655362:DNG655382 DXC655362:DXC655382 EGY655362:EGY655382 EQU655362:EQU655382 FAQ655362:FAQ655382 FKM655362:FKM655382 FUI655362:FUI655382 GEE655362:GEE655382 GOA655362:GOA655382 GXW655362:GXW655382 HHS655362:HHS655382 HRO655362:HRO655382 IBK655362:IBK655382 ILG655362:ILG655382 IVC655362:IVC655382 JEY655362:JEY655382 JOU655362:JOU655382 JYQ655362:JYQ655382 KIM655362:KIM655382 KSI655362:KSI655382 LCE655362:LCE655382 LMA655362:LMA655382 LVW655362:LVW655382 MFS655362:MFS655382 MPO655362:MPO655382 MZK655362:MZK655382 NJG655362:NJG655382 NTC655362:NTC655382 OCY655362:OCY655382 OMU655362:OMU655382 OWQ655362:OWQ655382 PGM655362:PGM655382 PQI655362:PQI655382 QAE655362:QAE655382 QKA655362:QKA655382 QTW655362:QTW655382 RDS655362:RDS655382 RNO655362:RNO655382 RXK655362:RXK655382 SHG655362:SHG655382 SRC655362:SRC655382 TAY655362:TAY655382 TKU655362:TKU655382 TUQ655362:TUQ655382 UEM655362:UEM655382 UOI655362:UOI655382 UYE655362:UYE655382 VIA655362:VIA655382 VRW655362:VRW655382 WBS655362:WBS655382 WLO655362:WLO655382 WVK655362:WVK655382 C720898:C720918 IY720898:IY720918 SU720898:SU720918 ACQ720898:ACQ720918 AMM720898:AMM720918 AWI720898:AWI720918 BGE720898:BGE720918 BQA720898:BQA720918 BZW720898:BZW720918 CJS720898:CJS720918 CTO720898:CTO720918 DDK720898:DDK720918 DNG720898:DNG720918 DXC720898:DXC720918 EGY720898:EGY720918 EQU720898:EQU720918 FAQ720898:FAQ720918 FKM720898:FKM720918 FUI720898:FUI720918 GEE720898:GEE720918 GOA720898:GOA720918 GXW720898:GXW720918 HHS720898:HHS720918 HRO720898:HRO720918 IBK720898:IBK720918 ILG720898:ILG720918 IVC720898:IVC720918 JEY720898:JEY720918 JOU720898:JOU720918 JYQ720898:JYQ720918 KIM720898:KIM720918 KSI720898:KSI720918 LCE720898:LCE720918 LMA720898:LMA720918 LVW720898:LVW720918 MFS720898:MFS720918 MPO720898:MPO720918 MZK720898:MZK720918 NJG720898:NJG720918 NTC720898:NTC720918 OCY720898:OCY720918 OMU720898:OMU720918 OWQ720898:OWQ720918 PGM720898:PGM720918 PQI720898:PQI720918 QAE720898:QAE720918 QKA720898:QKA720918 QTW720898:QTW720918 RDS720898:RDS720918 RNO720898:RNO720918 RXK720898:RXK720918 SHG720898:SHG720918 SRC720898:SRC720918 TAY720898:TAY720918 TKU720898:TKU720918 TUQ720898:TUQ720918 UEM720898:UEM720918 UOI720898:UOI720918 UYE720898:UYE720918 VIA720898:VIA720918 VRW720898:VRW720918 WBS720898:WBS720918 WLO720898:WLO720918 WVK720898:WVK720918 C786434:C786454 IY786434:IY786454 SU786434:SU786454 ACQ786434:ACQ786454 AMM786434:AMM786454 AWI786434:AWI786454 BGE786434:BGE786454 BQA786434:BQA786454 BZW786434:BZW786454 CJS786434:CJS786454 CTO786434:CTO786454 DDK786434:DDK786454 DNG786434:DNG786454 DXC786434:DXC786454 EGY786434:EGY786454 EQU786434:EQU786454 FAQ786434:FAQ786454 FKM786434:FKM786454 FUI786434:FUI786454 GEE786434:GEE786454 GOA786434:GOA786454 GXW786434:GXW786454 HHS786434:HHS786454 HRO786434:HRO786454 IBK786434:IBK786454 ILG786434:ILG786454 IVC786434:IVC786454 JEY786434:JEY786454 JOU786434:JOU786454 JYQ786434:JYQ786454 KIM786434:KIM786454 KSI786434:KSI786454 LCE786434:LCE786454 LMA786434:LMA786454 LVW786434:LVW786454 MFS786434:MFS786454 MPO786434:MPO786454 MZK786434:MZK786454 NJG786434:NJG786454 NTC786434:NTC786454 OCY786434:OCY786454 OMU786434:OMU786454 OWQ786434:OWQ786454 PGM786434:PGM786454 PQI786434:PQI786454 QAE786434:QAE786454 QKA786434:QKA786454 QTW786434:QTW786454 RDS786434:RDS786454 RNO786434:RNO786454 RXK786434:RXK786454 SHG786434:SHG786454 SRC786434:SRC786454 TAY786434:TAY786454 TKU786434:TKU786454 TUQ786434:TUQ786454 UEM786434:UEM786454 UOI786434:UOI786454 UYE786434:UYE786454 VIA786434:VIA786454 VRW786434:VRW786454 WBS786434:WBS786454 WLO786434:WLO786454 WVK786434:WVK786454 C851970:C851990 IY851970:IY851990 SU851970:SU851990 ACQ851970:ACQ851990 AMM851970:AMM851990 AWI851970:AWI851990 BGE851970:BGE851990 BQA851970:BQA851990 BZW851970:BZW851990 CJS851970:CJS851990 CTO851970:CTO851990 DDK851970:DDK851990 DNG851970:DNG851990 DXC851970:DXC851990 EGY851970:EGY851990 EQU851970:EQU851990 FAQ851970:FAQ851990 FKM851970:FKM851990 FUI851970:FUI851990 GEE851970:GEE851990 GOA851970:GOA851990 GXW851970:GXW851990 HHS851970:HHS851990 HRO851970:HRO851990 IBK851970:IBK851990 ILG851970:ILG851990 IVC851970:IVC851990 JEY851970:JEY851990 JOU851970:JOU851990 JYQ851970:JYQ851990 KIM851970:KIM851990 KSI851970:KSI851990 LCE851970:LCE851990 LMA851970:LMA851990 LVW851970:LVW851990 MFS851970:MFS851990 MPO851970:MPO851990 MZK851970:MZK851990 NJG851970:NJG851990 NTC851970:NTC851990 OCY851970:OCY851990 OMU851970:OMU851990 OWQ851970:OWQ851990 PGM851970:PGM851990 PQI851970:PQI851990 QAE851970:QAE851990 QKA851970:QKA851990 QTW851970:QTW851990 RDS851970:RDS851990 RNO851970:RNO851990 RXK851970:RXK851990 SHG851970:SHG851990 SRC851970:SRC851990 TAY851970:TAY851990 TKU851970:TKU851990 TUQ851970:TUQ851990 UEM851970:UEM851990 UOI851970:UOI851990 UYE851970:UYE851990 VIA851970:VIA851990 VRW851970:VRW851990 WBS851970:WBS851990 WLO851970:WLO851990 WVK851970:WVK851990 C917506:C917526 IY917506:IY917526 SU917506:SU917526 ACQ917506:ACQ917526 AMM917506:AMM917526 AWI917506:AWI917526 BGE917506:BGE917526 BQA917506:BQA917526 BZW917506:BZW917526 CJS917506:CJS917526 CTO917506:CTO917526 DDK917506:DDK917526 DNG917506:DNG917526 DXC917506:DXC917526 EGY917506:EGY917526 EQU917506:EQU917526 FAQ917506:FAQ917526 FKM917506:FKM917526 FUI917506:FUI917526 GEE917506:GEE917526 GOA917506:GOA917526 GXW917506:GXW917526 HHS917506:HHS917526 HRO917506:HRO917526 IBK917506:IBK917526 ILG917506:ILG917526 IVC917506:IVC917526 JEY917506:JEY917526 JOU917506:JOU917526 JYQ917506:JYQ917526 KIM917506:KIM917526 KSI917506:KSI917526 LCE917506:LCE917526 LMA917506:LMA917526 LVW917506:LVW917526 MFS917506:MFS917526 MPO917506:MPO917526 MZK917506:MZK917526 NJG917506:NJG917526 NTC917506:NTC917526 OCY917506:OCY917526 OMU917506:OMU917526 OWQ917506:OWQ917526 PGM917506:PGM917526 PQI917506:PQI917526 QAE917506:QAE917526 QKA917506:QKA917526 QTW917506:QTW917526 RDS917506:RDS917526 RNO917506:RNO917526 RXK917506:RXK917526 SHG917506:SHG917526 SRC917506:SRC917526 TAY917506:TAY917526 TKU917506:TKU917526 TUQ917506:TUQ917526 UEM917506:UEM917526 UOI917506:UOI917526 UYE917506:UYE917526 VIA917506:VIA917526 VRW917506:VRW917526 WBS917506:WBS917526 WLO917506:WLO917526 WVK917506:WVK917526 C983042:C983062 IY983042:IY983062 SU983042:SU983062 ACQ983042:ACQ983062 AMM983042:AMM983062 AWI983042:AWI983062 BGE983042:BGE983062 BQA983042:BQA983062 BZW983042:BZW983062 CJS983042:CJS983062 CTO983042:CTO983062 DDK983042:DDK983062 DNG983042:DNG983062 DXC983042:DXC983062 EGY983042:EGY983062 EQU983042:EQU983062 FAQ983042:FAQ983062 FKM983042:FKM983062 FUI983042:FUI983062 GEE983042:GEE983062 GOA983042:GOA983062 GXW983042:GXW983062 HHS983042:HHS983062 HRO983042:HRO983062 IBK983042:IBK983062 ILG983042:ILG983062 IVC983042:IVC983062 JEY983042:JEY983062 JOU983042:JOU983062 JYQ983042:JYQ983062 KIM983042:KIM983062 KSI983042:KSI983062 LCE983042:LCE983062 LMA983042:LMA983062 LVW983042:LVW983062 MFS983042:MFS983062 MPO983042:MPO983062 MZK983042:MZK983062 NJG983042:NJG983062 NTC983042:NTC983062 OCY983042:OCY983062 OMU983042:OMU983062 OWQ983042:OWQ983062 PGM983042:PGM983062 PQI983042:PQI983062 QAE983042:QAE983062 QKA983042:QKA983062 QTW983042:QTW983062 RDS983042:RDS983062 RNO983042:RNO983062 RXK983042:RXK983062 SHG983042:SHG983062 SRC983042:SRC983062 TAY983042:TAY983062 TKU983042:TKU983062 TUQ983042:TUQ983062 UEM983042:UEM983062 UOI983042:UOI983062 UYE983042:UYE983062 VIA983042:VIA983062 VRW983042:VRW983062 WBS983042:WBS983062 WLO983042:WLO983062 WVK983042:WVK983062">
      <formula1>-1</formula1>
      <formula2>1</formula2>
    </dataValidation>
    <dataValidation type="decimal" allowBlank="1" showInputMessage="1" showErrorMessage="1" error="You must enter a dollar amount between $0 and less than $1 million" prompt="Enter Dollar Amount" sqref="B2:B22 IX2:IX22 ST2:ST22 ACP2:ACP22 AML2:AML22 AWH2:AWH22 BGD2:BGD22 BPZ2:BPZ22 BZV2:BZV22 CJR2:CJR22 CTN2:CTN22 DDJ2:DDJ22 DNF2:DNF22 DXB2:DXB22 EGX2:EGX22 EQT2:EQT22 FAP2:FAP22 FKL2:FKL22 FUH2:FUH22 GED2:GED22 GNZ2:GNZ22 GXV2:GXV22 HHR2:HHR22 HRN2:HRN22 IBJ2:IBJ22 ILF2:ILF22 IVB2:IVB22 JEX2:JEX22 JOT2:JOT22 JYP2:JYP22 KIL2:KIL22 KSH2:KSH22 LCD2:LCD22 LLZ2:LLZ22 LVV2:LVV22 MFR2:MFR22 MPN2:MPN22 MZJ2:MZJ22 NJF2:NJF22 NTB2:NTB22 OCX2:OCX22 OMT2:OMT22 OWP2:OWP22 PGL2:PGL22 PQH2:PQH22 QAD2:QAD22 QJZ2:QJZ22 QTV2:QTV22 RDR2:RDR22 RNN2:RNN22 RXJ2:RXJ22 SHF2:SHF22 SRB2:SRB22 TAX2:TAX22 TKT2:TKT22 TUP2:TUP22 UEL2:UEL22 UOH2:UOH22 UYD2:UYD22 VHZ2:VHZ22 VRV2:VRV22 WBR2:WBR22 WLN2:WLN22 WVJ2:WVJ22 B65538:B65558 IX65538:IX65558 ST65538:ST65558 ACP65538:ACP65558 AML65538:AML65558 AWH65538:AWH65558 BGD65538:BGD65558 BPZ65538:BPZ65558 BZV65538:BZV65558 CJR65538:CJR65558 CTN65538:CTN65558 DDJ65538:DDJ65558 DNF65538:DNF65558 DXB65538:DXB65558 EGX65538:EGX65558 EQT65538:EQT65558 FAP65538:FAP65558 FKL65538:FKL65558 FUH65538:FUH65558 GED65538:GED65558 GNZ65538:GNZ65558 GXV65538:GXV65558 HHR65538:HHR65558 HRN65538:HRN65558 IBJ65538:IBJ65558 ILF65538:ILF65558 IVB65538:IVB65558 JEX65538:JEX65558 JOT65538:JOT65558 JYP65538:JYP65558 KIL65538:KIL65558 KSH65538:KSH65558 LCD65538:LCD65558 LLZ65538:LLZ65558 LVV65538:LVV65558 MFR65538:MFR65558 MPN65538:MPN65558 MZJ65538:MZJ65558 NJF65538:NJF65558 NTB65538:NTB65558 OCX65538:OCX65558 OMT65538:OMT65558 OWP65538:OWP65558 PGL65538:PGL65558 PQH65538:PQH65558 QAD65538:QAD65558 QJZ65538:QJZ65558 QTV65538:QTV65558 RDR65538:RDR65558 RNN65538:RNN65558 RXJ65538:RXJ65558 SHF65538:SHF65558 SRB65538:SRB65558 TAX65538:TAX65558 TKT65538:TKT65558 TUP65538:TUP65558 UEL65538:UEL65558 UOH65538:UOH65558 UYD65538:UYD65558 VHZ65538:VHZ65558 VRV65538:VRV65558 WBR65538:WBR65558 WLN65538:WLN65558 WVJ65538:WVJ65558 B131074:B131094 IX131074:IX131094 ST131074:ST131094 ACP131074:ACP131094 AML131074:AML131094 AWH131074:AWH131094 BGD131074:BGD131094 BPZ131074:BPZ131094 BZV131074:BZV131094 CJR131074:CJR131094 CTN131074:CTN131094 DDJ131074:DDJ131094 DNF131074:DNF131094 DXB131074:DXB131094 EGX131074:EGX131094 EQT131074:EQT131094 FAP131074:FAP131094 FKL131074:FKL131094 FUH131074:FUH131094 GED131074:GED131094 GNZ131074:GNZ131094 GXV131074:GXV131094 HHR131074:HHR131094 HRN131074:HRN131094 IBJ131074:IBJ131094 ILF131074:ILF131094 IVB131074:IVB131094 JEX131074:JEX131094 JOT131074:JOT131094 JYP131074:JYP131094 KIL131074:KIL131094 KSH131074:KSH131094 LCD131074:LCD131094 LLZ131074:LLZ131094 LVV131074:LVV131094 MFR131074:MFR131094 MPN131074:MPN131094 MZJ131074:MZJ131094 NJF131074:NJF131094 NTB131074:NTB131094 OCX131074:OCX131094 OMT131074:OMT131094 OWP131074:OWP131094 PGL131074:PGL131094 PQH131074:PQH131094 QAD131074:QAD131094 QJZ131074:QJZ131094 QTV131074:QTV131094 RDR131074:RDR131094 RNN131074:RNN131094 RXJ131074:RXJ131094 SHF131074:SHF131094 SRB131074:SRB131094 TAX131074:TAX131094 TKT131074:TKT131094 TUP131074:TUP131094 UEL131074:UEL131094 UOH131074:UOH131094 UYD131074:UYD131094 VHZ131074:VHZ131094 VRV131074:VRV131094 WBR131074:WBR131094 WLN131074:WLN131094 WVJ131074:WVJ131094 B196610:B196630 IX196610:IX196630 ST196610:ST196630 ACP196610:ACP196630 AML196610:AML196630 AWH196610:AWH196630 BGD196610:BGD196630 BPZ196610:BPZ196630 BZV196610:BZV196630 CJR196610:CJR196630 CTN196610:CTN196630 DDJ196610:DDJ196630 DNF196610:DNF196630 DXB196610:DXB196630 EGX196610:EGX196630 EQT196610:EQT196630 FAP196610:FAP196630 FKL196610:FKL196630 FUH196610:FUH196630 GED196610:GED196630 GNZ196610:GNZ196630 GXV196610:GXV196630 HHR196610:HHR196630 HRN196610:HRN196630 IBJ196610:IBJ196630 ILF196610:ILF196630 IVB196610:IVB196630 JEX196610:JEX196630 JOT196610:JOT196630 JYP196610:JYP196630 KIL196610:KIL196630 KSH196610:KSH196630 LCD196610:LCD196630 LLZ196610:LLZ196630 LVV196610:LVV196630 MFR196610:MFR196630 MPN196610:MPN196630 MZJ196610:MZJ196630 NJF196610:NJF196630 NTB196610:NTB196630 OCX196610:OCX196630 OMT196610:OMT196630 OWP196610:OWP196630 PGL196610:PGL196630 PQH196610:PQH196630 QAD196610:QAD196630 QJZ196610:QJZ196630 QTV196610:QTV196630 RDR196610:RDR196630 RNN196610:RNN196630 RXJ196610:RXJ196630 SHF196610:SHF196630 SRB196610:SRB196630 TAX196610:TAX196630 TKT196610:TKT196630 TUP196610:TUP196630 UEL196610:UEL196630 UOH196610:UOH196630 UYD196610:UYD196630 VHZ196610:VHZ196630 VRV196610:VRV196630 WBR196610:WBR196630 WLN196610:WLN196630 WVJ196610:WVJ196630 B262146:B262166 IX262146:IX262166 ST262146:ST262166 ACP262146:ACP262166 AML262146:AML262166 AWH262146:AWH262166 BGD262146:BGD262166 BPZ262146:BPZ262166 BZV262146:BZV262166 CJR262146:CJR262166 CTN262146:CTN262166 DDJ262146:DDJ262166 DNF262146:DNF262166 DXB262146:DXB262166 EGX262146:EGX262166 EQT262146:EQT262166 FAP262146:FAP262166 FKL262146:FKL262166 FUH262146:FUH262166 GED262146:GED262166 GNZ262146:GNZ262166 GXV262146:GXV262166 HHR262146:HHR262166 HRN262146:HRN262166 IBJ262146:IBJ262166 ILF262146:ILF262166 IVB262146:IVB262166 JEX262146:JEX262166 JOT262146:JOT262166 JYP262146:JYP262166 KIL262146:KIL262166 KSH262146:KSH262166 LCD262146:LCD262166 LLZ262146:LLZ262166 LVV262146:LVV262166 MFR262146:MFR262166 MPN262146:MPN262166 MZJ262146:MZJ262166 NJF262146:NJF262166 NTB262146:NTB262166 OCX262146:OCX262166 OMT262146:OMT262166 OWP262146:OWP262166 PGL262146:PGL262166 PQH262146:PQH262166 QAD262146:QAD262166 QJZ262146:QJZ262166 QTV262146:QTV262166 RDR262146:RDR262166 RNN262146:RNN262166 RXJ262146:RXJ262166 SHF262146:SHF262166 SRB262146:SRB262166 TAX262146:TAX262166 TKT262146:TKT262166 TUP262146:TUP262166 UEL262146:UEL262166 UOH262146:UOH262166 UYD262146:UYD262166 VHZ262146:VHZ262166 VRV262146:VRV262166 WBR262146:WBR262166 WLN262146:WLN262166 WVJ262146:WVJ262166 B327682:B327702 IX327682:IX327702 ST327682:ST327702 ACP327682:ACP327702 AML327682:AML327702 AWH327682:AWH327702 BGD327682:BGD327702 BPZ327682:BPZ327702 BZV327682:BZV327702 CJR327682:CJR327702 CTN327682:CTN327702 DDJ327682:DDJ327702 DNF327682:DNF327702 DXB327682:DXB327702 EGX327682:EGX327702 EQT327682:EQT327702 FAP327682:FAP327702 FKL327682:FKL327702 FUH327682:FUH327702 GED327682:GED327702 GNZ327682:GNZ327702 GXV327682:GXV327702 HHR327682:HHR327702 HRN327682:HRN327702 IBJ327682:IBJ327702 ILF327682:ILF327702 IVB327682:IVB327702 JEX327682:JEX327702 JOT327682:JOT327702 JYP327682:JYP327702 KIL327682:KIL327702 KSH327682:KSH327702 LCD327682:LCD327702 LLZ327682:LLZ327702 LVV327682:LVV327702 MFR327682:MFR327702 MPN327682:MPN327702 MZJ327682:MZJ327702 NJF327682:NJF327702 NTB327682:NTB327702 OCX327682:OCX327702 OMT327682:OMT327702 OWP327682:OWP327702 PGL327682:PGL327702 PQH327682:PQH327702 QAD327682:QAD327702 QJZ327682:QJZ327702 QTV327682:QTV327702 RDR327682:RDR327702 RNN327682:RNN327702 RXJ327682:RXJ327702 SHF327682:SHF327702 SRB327682:SRB327702 TAX327682:TAX327702 TKT327682:TKT327702 TUP327682:TUP327702 UEL327682:UEL327702 UOH327682:UOH327702 UYD327682:UYD327702 VHZ327682:VHZ327702 VRV327682:VRV327702 WBR327682:WBR327702 WLN327682:WLN327702 WVJ327682:WVJ327702 B393218:B393238 IX393218:IX393238 ST393218:ST393238 ACP393218:ACP393238 AML393218:AML393238 AWH393218:AWH393238 BGD393218:BGD393238 BPZ393218:BPZ393238 BZV393218:BZV393238 CJR393218:CJR393238 CTN393218:CTN393238 DDJ393218:DDJ393238 DNF393218:DNF393238 DXB393218:DXB393238 EGX393218:EGX393238 EQT393218:EQT393238 FAP393218:FAP393238 FKL393218:FKL393238 FUH393218:FUH393238 GED393218:GED393238 GNZ393218:GNZ393238 GXV393218:GXV393238 HHR393218:HHR393238 HRN393218:HRN393238 IBJ393218:IBJ393238 ILF393218:ILF393238 IVB393218:IVB393238 JEX393218:JEX393238 JOT393218:JOT393238 JYP393218:JYP393238 KIL393218:KIL393238 KSH393218:KSH393238 LCD393218:LCD393238 LLZ393218:LLZ393238 LVV393218:LVV393238 MFR393218:MFR393238 MPN393218:MPN393238 MZJ393218:MZJ393238 NJF393218:NJF393238 NTB393218:NTB393238 OCX393218:OCX393238 OMT393218:OMT393238 OWP393218:OWP393238 PGL393218:PGL393238 PQH393218:PQH393238 QAD393218:QAD393238 QJZ393218:QJZ393238 QTV393218:QTV393238 RDR393218:RDR393238 RNN393218:RNN393238 RXJ393218:RXJ393238 SHF393218:SHF393238 SRB393218:SRB393238 TAX393218:TAX393238 TKT393218:TKT393238 TUP393218:TUP393238 UEL393218:UEL393238 UOH393218:UOH393238 UYD393218:UYD393238 VHZ393218:VHZ393238 VRV393218:VRV393238 WBR393218:WBR393238 WLN393218:WLN393238 WVJ393218:WVJ393238 B458754:B458774 IX458754:IX458774 ST458754:ST458774 ACP458754:ACP458774 AML458754:AML458774 AWH458754:AWH458774 BGD458754:BGD458774 BPZ458754:BPZ458774 BZV458754:BZV458774 CJR458754:CJR458774 CTN458754:CTN458774 DDJ458754:DDJ458774 DNF458754:DNF458774 DXB458754:DXB458774 EGX458754:EGX458774 EQT458754:EQT458774 FAP458754:FAP458774 FKL458754:FKL458774 FUH458754:FUH458774 GED458754:GED458774 GNZ458754:GNZ458774 GXV458754:GXV458774 HHR458754:HHR458774 HRN458754:HRN458774 IBJ458754:IBJ458774 ILF458754:ILF458774 IVB458754:IVB458774 JEX458754:JEX458774 JOT458754:JOT458774 JYP458754:JYP458774 KIL458754:KIL458774 KSH458754:KSH458774 LCD458754:LCD458774 LLZ458754:LLZ458774 LVV458754:LVV458774 MFR458754:MFR458774 MPN458754:MPN458774 MZJ458754:MZJ458774 NJF458754:NJF458774 NTB458754:NTB458774 OCX458754:OCX458774 OMT458754:OMT458774 OWP458754:OWP458774 PGL458754:PGL458774 PQH458754:PQH458774 QAD458754:QAD458774 QJZ458754:QJZ458774 QTV458754:QTV458774 RDR458754:RDR458774 RNN458754:RNN458774 RXJ458754:RXJ458774 SHF458754:SHF458774 SRB458754:SRB458774 TAX458754:TAX458774 TKT458754:TKT458774 TUP458754:TUP458774 UEL458754:UEL458774 UOH458754:UOH458774 UYD458754:UYD458774 VHZ458754:VHZ458774 VRV458754:VRV458774 WBR458754:WBR458774 WLN458754:WLN458774 WVJ458754:WVJ458774 B524290:B524310 IX524290:IX524310 ST524290:ST524310 ACP524290:ACP524310 AML524290:AML524310 AWH524290:AWH524310 BGD524290:BGD524310 BPZ524290:BPZ524310 BZV524290:BZV524310 CJR524290:CJR524310 CTN524290:CTN524310 DDJ524290:DDJ524310 DNF524290:DNF524310 DXB524290:DXB524310 EGX524290:EGX524310 EQT524290:EQT524310 FAP524290:FAP524310 FKL524290:FKL524310 FUH524290:FUH524310 GED524290:GED524310 GNZ524290:GNZ524310 GXV524290:GXV524310 HHR524290:HHR524310 HRN524290:HRN524310 IBJ524290:IBJ524310 ILF524290:ILF524310 IVB524290:IVB524310 JEX524290:JEX524310 JOT524290:JOT524310 JYP524290:JYP524310 KIL524290:KIL524310 KSH524290:KSH524310 LCD524290:LCD524310 LLZ524290:LLZ524310 LVV524290:LVV524310 MFR524290:MFR524310 MPN524290:MPN524310 MZJ524290:MZJ524310 NJF524290:NJF524310 NTB524290:NTB524310 OCX524290:OCX524310 OMT524290:OMT524310 OWP524290:OWP524310 PGL524290:PGL524310 PQH524290:PQH524310 QAD524290:QAD524310 QJZ524290:QJZ524310 QTV524290:QTV524310 RDR524290:RDR524310 RNN524290:RNN524310 RXJ524290:RXJ524310 SHF524290:SHF524310 SRB524290:SRB524310 TAX524290:TAX524310 TKT524290:TKT524310 TUP524290:TUP524310 UEL524290:UEL524310 UOH524290:UOH524310 UYD524290:UYD524310 VHZ524290:VHZ524310 VRV524290:VRV524310 WBR524290:WBR524310 WLN524290:WLN524310 WVJ524290:WVJ524310 B589826:B589846 IX589826:IX589846 ST589826:ST589846 ACP589826:ACP589846 AML589826:AML589846 AWH589826:AWH589846 BGD589826:BGD589846 BPZ589826:BPZ589846 BZV589826:BZV589846 CJR589826:CJR589846 CTN589826:CTN589846 DDJ589826:DDJ589846 DNF589826:DNF589846 DXB589826:DXB589846 EGX589826:EGX589846 EQT589826:EQT589846 FAP589826:FAP589846 FKL589826:FKL589846 FUH589826:FUH589846 GED589826:GED589846 GNZ589826:GNZ589846 GXV589826:GXV589846 HHR589826:HHR589846 HRN589826:HRN589846 IBJ589826:IBJ589846 ILF589826:ILF589846 IVB589826:IVB589846 JEX589826:JEX589846 JOT589826:JOT589846 JYP589826:JYP589846 KIL589826:KIL589846 KSH589826:KSH589846 LCD589826:LCD589846 LLZ589826:LLZ589846 LVV589826:LVV589846 MFR589826:MFR589846 MPN589826:MPN589846 MZJ589826:MZJ589846 NJF589826:NJF589846 NTB589826:NTB589846 OCX589826:OCX589846 OMT589826:OMT589846 OWP589826:OWP589846 PGL589826:PGL589846 PQH589826:PQH589846 QAD589826:QAD589846 QJZ589826:QJZ589846 QTV589826:QTV589846 RDR589826:RDR589846 RNN589826:RNN589846 RXJ589826:RXJ589846 SHF589826:SHF589846 SRB589826:SRB589846 TAX589826:TAX589846 TKT589826:TKT589846 TUP589826:TUP589846 UEL589826:UEL589846 UOH589826:UOH589846 UYD589826:UYD589846 VHZ589826:VHZ589846 VRV589826:VRV589846 WBR589826:WBR589846 WLN589826:WLN589846 WVJ589826:WVJ589846 B655362:B655382 IX655362:IX655382 ST655362:ST655382 ACP655362:ACP655382 AML655362:AML655382 AWH655362:AWH655382 BGD655362:BGD655382 BPZ655362:BPZ655382 BZV655362:BZV655382 CJR655362:CJR655382 CTN655362:CTN655382 DDJ655362:DDJ655382 DNF655362:DNF655382 DXB655362:DXB655382 EGX655362:EGX655382 EQT655362:EQT655382 FAP655362:FAP655382 FKL655362:FKL655382 FUH655362:FUH655382 GED655362:GED655382 GNZ655362:GNZ655382 GXV655362:GXV655382 HHR655362:HHR655382 HRN655362:HRN655382 IBJ655362:IBJ655382 ILF655362:ILF655382 IVB655362:IVB655382 JEX655362:JEX655382 JOT655362:JOT655382 JYP655362:JYP655382 KIL655362:KIL655382 KSH655362:KSH655382 LCD655362:LCD655382 LLZ655362:LLZ655382 LVV655362:LVV655382 MFR655362:MFR655382 MPN655362:MPN655382 MZJ655362:MZJ655382 NJF655362:NJF655382 NTB655362:NTB655382 OCX655362:OCX655382 OMT655362:OMT655382 OWP655362:OWP655382 PGL655362:PGL655382 PQH655362:PQH655382 QAD655362:QAD655382 QJZ655362:QJZ655382 QTV655362:QTV655382 RDR655362:RDR655382 RNN655362:RNN655382 RXJ655362:RXJ655382 SHF655362:SHF655382 SRB655362:SRB655382 TAX655362:TAX655382 TKT655362:TKT655382 TUP655362:TUP655382 UEL655362:UEL655382 UOH655362:UOH655382 UYD655362:UYD655382 VHZ655362:VHZ655382 VRV655362:VRV655382 WBR655362:WBR655382 WLN655362:WLN655382 WVJ655362:WVJ655382 B720898:B720918 IX720898:IX720918 ST720898:ST720918 ACP720898:ACP720918 AML720898:AML720918 AWH720898:AWH720918 BGD720898:BGD720918 BPZ720898:BPZ720918 BZV720898:BZV720918 CJR720898:CJR720918 CTN720898:CTN720918 DDJ720898:DDJ720918 DNF720898:DNF720918 DXB720898:DXB720918 EGX720898:EGX720918 EQT720898:EQT720918 FAP720898:FAP720918 FKL720898:FKL720918 FUH720898:FUH720918 GED720898:GED720918 GNZ720898:GNZ720918 GXV720898:GXV720918 HHR720898:HHR720918 HRN720898:HRN720918 IBJ720898:IBJ720918 ILF720898:ILF720918 IVB720898:IVB720918 JEX720898:JEX720918 JOT720898:JOT720918 JYP720898:JYP720918 KIL720898:KIL720918 KSH720898:KSH720918 LCD720898:LCD720918 LLZ720898:LLZ720918 LVV720898:LVV720918 MFR720898:MFR720918 MPN720898:MPN720918 MZJ720898:MZJ720918 NJF720898:NJF720918 NTB720898:NTB720918 OCX720898:OCX720918 OMT720898:OMT720918 OWP720898:OWP720918 PGL720898:PGL720918 PQH720898:PQH720918 QAD720898:QAD720918 QJZ720898:QJZ720918 QTV720898:QTV720918 RDR720898:RDR720918 RNN720898:RNN720918 RXJ720898:RXJ720918 SHF720898:SHF720918 SRB720898:SRB720918 TAX720898:TAX720918 TKT720898:TKT720918 TUP720898:TUP720918 UEL720898:UEL720918 UOH720898:UOH720918 UYD720898:UYD720918 VHZ720898:VHZ720918 VRV720898:VRV720918 WBR720898:WBR720918 WLN720898:WLN720918 WVJ720898:WVJ720918 B786434:B786454 IX786434:IX786454 ST786434:ST786454 ACP786434:ACP786454 AML786434:AML786454 AWH786434:AWH786454 BGD786434:BGD786454 BPZ786434:BPZ786454 BZV786434:BZV786454 CJR786434:CJR786454 CTN786434:CTN786454 DDJ786434:DDJ786454 DNF786434:DNF786454 DXB786434:DXB786454 EGX786434:EGX786454 EQT786434:EQT786454 FAP786434:FAP786454 FKL786434:FKL786454 FUH786434:FUH786454 GED786434:GED786454 GNZ786434:GNZ786454 GXV786434:GXV786454 HHR786434:HHR786454 HRN786434:HRN786454 IBJ786434:IBJ786454 ILF786434:ILF786454 IVB786434:IVB786454 JEX786434:JEX786454 JOT786434:JOT786454 JYP786434:JYP786454 KIL786434:KIL786454 KSH786434:KSH786454 LCD786434:LCD786454 LLZ786434:LLZ786454 LVV786434:LVV786454 MFR786434:MFR786454 MPN786434:MPN786454 MZJ786434:MZJ786454 NJF786434:NJF786454 NTB786434:NTB786454 OCX786434:OCX786454 OMT786434:OMT786454 OWP786434:OWP786454 PGL786434:PGL786454 PQH786434:PQH786454 QAD786434:QAD786454 QJZ786434:QJZ786454 QTV786434:QTV786454 RDR786434:RDR786454 RNN786434:RNN786454 RXJ786434:RXJ786454 SHF786434:SHF786454 SRB786434:SRB786454 TAX786434:TAX786454 TKT786434:TKT786454 TUP786434:TUP786454 UEL786434:UEL786454 UOH786434:UOH786454 UYD786434:UYD786454 VHZ786434:VHZ786454 VRV786434:VRV786454 WBR786434:WBR786454 WLN786434:WLN786454 WVJ786434:WVJ786454 B851970:B851990 IX851970:IX851990 ST851970:ST851990 ACP851970:ACP851990 AML851970:AML851990 AWH851970:AWH851990 BGD851970:BGD851990 BPZ851970:BPZ851990 BZV851970:BZV851990 CJR851970:CJR851990 CTN851970:CTN851990 DDJ851970:DDJ851990 DNF851970:DNF851990 DXB851970:DXB851990 EGX851970:EGX851990 EQT851970:EQT851990 FAP851970:FAP851990 FKL851970:FKL851990 FUH851970:FUH851990 GED851970:GED851990 GNZ851970:GNZ851990 GXV851970:GXV851990 HHR851970:HHR851990 HRN851970:HRN851990 IBJ851970:IBJ851990 ILF851970:ILF851990 IVB851970:IVB851990 JEX851970:JEX851990 JOT851970:JOT851990 JYP851970:JYP851990 KIL851970:KIL851990 KSH851970:KSH851990 LCD851970:LCD851990 LLZ851970:LLZ851990 LVV851970:LVV851990 MFR851970:MFR851990 MPN851970:MPN851990 MZJ851970:MZJ851990 NJF851970:NJF851990 NTB851970:NTB851990 OCX851970:OCX851990 OMT851970:OMT851990 OWP851970:OWP851990 PGL851970:PGL851990 PQH851970:PQH851990 QAD851970:QAD851990 QJZ851970:QJZ851990 QTV851970:QTV851990 RDR851970:RDR851990 RNN851970:RNN851990 RXJ851970:RXJ851990 SHF851970:SHF851990 SRB851970:SRB851990 TAX851970:TAX851990 TKT851970:TKT851990 TUP851970:TUP851990 UEL851970:UEL851990 UOH851970:UOH851990 UYD851970:UYD851990 VHZ851970:VHZ851990 VRV851970:VRV851990 WBR851970:WBR851990 WLN851970:WLN851990 WVJ851970:WVJ851990 B917506:B917526 IX917506:IX917526 ST917506:ST917526 ACP917506:ACP917526 AML917506:AML917526 AWH917506:AWH917526 BGD917506:BGD917526 BPZ917506:BPZ917526 BZV917506:BZV917526 CJR917506:CJR917526 CTN917506:CTN917526 DDJ917506:DDJ917526 DNF917506:DNF917526 DXB917506:DXB917526 EGX917506:EGX917526 EQT917506:EQT917526 FAP917506:FAP917526 FKL917506:FKL917526 FUH917506:FUH917526 GED917506:GED917526 GNZ917506:GNZ917526 GXV917506:GXV917526 HHR917506:HHR917526 HRN917506:HRN917526 IBJ917506:IBJ917526 ILF917506:ILF917526 IVB917506:IVB917526 JEX917506:JEX917526 JOT917506:JOT917526 JYP917506:JYP917526 KIL917506:KIL917526 KSH917506:KSH917526 LCD917506:LCD917526 LLZ917506:LLZ917526 LVV917506:LVV917526 MFR917506:MFR917526 MPN917506:MPN917526 MZJ917506:MZJ917526 NJF917506:NJF917526 NTB917506:NTB917526 OCX917506:OCX917526 OMT917506:OMT917526 OWP917506:OWP917526 PGL917506:PGL917526 PQH917506:PQH917526 QAD917506:QAD917526 QJZ917506:QJZ917526 QTV917506:QTV917526 RDR917506:RDR917526 RNN917506:RNN917526 RXJ917506:RXJ917526 SHF917506:SHF917526 SRB917506:SRB917526 TAX917506:TAX917526 TKT917506:TKT917526 TUP917506:TUP917526 UEL917506:UEL917526 UOH917506:UOH917526 UYD917506:UYD917526 VHZ917506:VHZ917526 VRV917506:VRV917526 WBR917506:WBR917526 WLN917506:WLN917526 WVJ917506:WVJ917526 B983042:B983062 IX983042:IX983062 ST983042:ST983062 ACP983042:ACP983062 AML983042:AML983062 AWH983042:AWH983062 BGD983042:BGD983062 BPZ983042:BPZ983062 BZV983042:BZV983062 CJR983042:CJR983062 CTN983042:CTN983062 DDJ983042:DDJ983062 DNF983042:DNF983062 DXB983042:DXB983062 EGX983042:EGX983062 EQT983042:EQT983062 FAP983042:FAP983062 FKL983042:FKL983062 FUH983042:FUH983062 GED983042:GED983062 GNZ983042:GNZ983062 GXV983042:GXV983062 HHR983042:HHR983062 HRN983042:HRN983062 IBJ983042:IBJ983062 ILF983042:ILF983062 IVB983042:IVB983062 JEX983042:JEX983062 JOT983042:JOT983062 JYP983042:JYP983062 KIL983042:KIL983062 KSH983042:KSH983062 LCD983042:LCD983062 LLZ983042:LLZ983062 LVV983042:LVV983062 MFR983042:MFR983062 MPN983042:MPN983062 MZJ983042:MZJ983062 NJF983042:NJF983062 NTB983042:NTB983062 OCX983042:OCX983062 OMT983042:OMT983062 OWP983042:OWP983062 PGL983042:PGL983062 PQH983042:PQH983062 QAD983042:QAD983062 QJZ983042:QJZ983062 QTV983042:QTV983062 RDR983042:RDR983062 RNN983042:RNN983062 RXJ983042:RXJ983062 SHF983042:SHF983062 SRB983042:SRB983062 TAX983042:TAX983062 TKT983042:TKT983062 TUP983042:TUP983062 UEL983042:UEL983062 UOH983042:UOH983062 UYD983042:UYD983062 VHZ983042:VHZ983062 VRV983042:VRV983062 WBR983042:WBR983062 WLN983042:WLN983062 WVJ983042:WVJ983062">
      <formula1>0</formula1>
      <formula2>999999</formula2>
    </dataValidation>
    <dataValidation type="list" allowBlank="1" showInputMessage="1" showErrorMessage="1" error="You must choose a category from the list." prompt="You must choose a category from the list." sqref="A2:A22 IW2:IW22 SS2:SS22 ACO2:ACO22 AMK2:AMK22 AWG2:AWG22 BGC2:BGC22 BPY2:BPY22 BZU2:BZU22 CJQ2:CJQ22 CTM2:CTM22 DDI2:DDI22 DNE2:DNE22 DXA2:DXA22 EGW2:EGW22 EQS2:EQS22 FAO2:FAO22 FKK2:FKK22 FUG2:FUG22 GEC2:GEC22 GNY2:GNY22 GXU2:GXU22 HHQ2:HHQ22 HRM2:HRM22 IBI2:IBI22 ILE2:ILE22 IVA2:IVA22 JEW2:JEW22 JOS2:JOS22 JYO2:JYO22 KIK2:KIK22 KSG2:KSG22 LCC2:LCC22 LLY2:LLY22 LVU2:LVU22 MFQ2:MFQ22 MPM2:MPM22 MZI2:MZI22 NJE2:NJE22 NTA2:NTA22 OCW2:OCW22 OMS2:OMS22 OWO2:OWO22 PGK2:PGK22 PQG2:PQG22 QAC2:QAC22 QJY2:QJY22 QTU2:QTU22 RDQ2:RDQ22 RNM2:RNM22 RXI2:RXI22 SHE2:SHE22 SRA2:SRA22 TAW2:TAW22 TKS2:TKS22 TUO2:TUO22 UEK2:UEK22 UOG2:UOG22 UYC2:UYC22 VHY2:VHY22 VRU2:VRU22 WBQ2:WBQ22 WLM2:WLM22 WVI2:WVI22 A65538:A65558 IW65538:IW65558 SS65538:SS65558 ACO65538:ACO65558 AMK65538:AMK65558 AWG65538:AWG65558 BGC65538:BGC65558 BPY65538:BPY65558 BZU65538:BZU65558 CJQ65538:CJQ65558 CTM65538:CTM65558 DDI65538:DDI65558 DNE65538:DNE65558 DXA65538:DXA65558 EGW65538:EGW65558 EQS65538:EQS65558 FAO65538:FAO65558 FKK65538:FKK65558 FUG65538:FUG65558 GEC65538:GEC65558 GNY65538:GNY65558 GXU65538:GXU65558 HHQ65538:HHQ65558 HRM65538:HRM65558 IBI65538:IBI65558 ILE65538:ILE65558 IVA65538:IVA65558 JEW65538:JEW65558 JOS65538:JOS65558 JYO65538:JYO65558 KIK65538:KIK65558 KSG65538:KSG65558 LCC65538:LCC65558 LLY65538:LLY65558 LVU65538:LVU65558 MFQ65538:MFQ65558 MPM65538:MPM65558 MZI65538:MZI65558 NJE65538:NJE65558 NTA65538:NTA65558 OCW65538:OCW65558 OMS65538:OMS65558 OWO65538:OWO65558 PGK65538:PGK65558 PQG65538:PQG65558 QAC65538:QAC65558 QJY65538:QJY65558 QTU65538:QTU65558 RDQ65538:RDQ65558 RNM65538:RNM65558 RXI65538:RXI65558 SHE65538:SHE65558 SRA65538:SRA65558 TAW65538:TAW65558 TKS65538:TKS65558 TUO65538:TUO65558 UEK65538:UEK65558 UOG65538:UOG65558 UYC65538:UYC65558 VHY65538:VHY65558 VRU65538:VRU65558 WBQ65538:WBQ65558 WLM65538:WLM65558 WVI65538:WVI65558 A131074:A131094 IW131074:IW131094 SS131074:SS131094 ACO131074:ACO131094 AMK131074:AMK131094 AWG131074:AWG131094 BGC131074:BGC131094 BPY131074:BPY131094 BZU131074:BZU131094 CJQ131074:CJQ131094 CTM131074:CTM131094 DDI131074:DDI131094 DNE131074:DNE131094 DXA131074:DXA131094 EGW131074:EGW131094 EQS131074:EQS131094 FAO131074:FAO131094 FKK131074:FKK131094 FUG131074:FUG131094 GEC131074:GEC131094 GNY131074:GNY131094 GXU131074:GXU131094 HHQ131074:HHQ131094 HRM131074:HRM131094 IBI131074:IBI131094 ILE131074:ILE131094 IVA131074:IVA131094 JEW131074:JEW131094 JOS131074:JOS131094 JYO131074:JYO131094 KIK131074:KIK131094 KSG131074:KSG131094 LCC131074:LCC131094 LLY131074:LLY131094 LVU131074:LVU131094 MFQ131074:MFQ131094 MPM131074:MPM131094 MZI131074:MZI131094 NJE131074:NJE131094 NTA131074:NTA131094 OCW131074:OCW131094 OMS131074:OMS131094 OWO131074:OWO131094 PGK131074:PGK131094 PQG131074:PQG131094 QAC131074:QAC131094 QJY131074:QJY131094 QTU131074:QTU131094 RDQ131074:RDQ131094 RNM131074:RNM131094 RXI131074:RXI131094 SHE131074:SHE131094 SRA131074:SRA131094 TAW131074:TAW131094 TKS131074:TKS131094 TUO131074:TUO131094 UEK131074:UEK131094 UOG131074:UOG131094 UYC131074:UYC131094 VHY131074:VHY131094 VRU131074:VRU131094 WBQ131074:WBQ131094 WLM131074:WLM131094 WVI131074:WVI131094 A196610:A196630 IW196610:IW196630 SS196610:SS196630 ACO196610:ACO196630 AMK196610:AMK196630 AWG196610:AWG196630 BGC196610:BGC196630 BPY196610:BPY196630 BZU196610:BZU196630 CJQ196610:CJQ196630 CTM196610:CTM196630 DDI196610:DDI196630 DNE196610:DNE196630 DXA196610:DXA196630 EGW196610:EGW196630 EQS196610:EQS196630 FAO196610:FAO196630 FKK196610:FKK196630 FUG196610:FUG196630 GEC196610:GEC196630 GNY196610:GNY196630 GXU196610:GXU196630 HHQ196610:HHQ196630 HRM196610:HRM196630 IBI196610:IBI196630 ILE196610:ILE196630 IVA196610:IVA196630 JEW196610:JEW196630 JOS196610:JOS196630 JYO196610:JYO196630 KIK196610:KIK196630 KSG196610:KSG196630 LCC196610:LCC196630 LLY196610:LLY196630 LVU196610:LVU196630 MFQ196610:MFQ196630 MPM196610:MPM196630 MZI196610:MZI196630 NJE196610:NJE196630 NTA196610:NTA196630 OCW196610:OCW196630 OMS196610:OMS196630 OWO196610:OWO196630 PGK196610:PGK196630 PQG196610:PQG196630 QAC196610:QAC196630 QJY196610:QJY196630 QTU196610:QTU196630 RDQ196610:RDQ196630 RNM196610:RNM196630 RXI196610:RXI196630 SHE196610:SHE196630 SRA196610:SRA196630 TAW196610:TAW196630 TKS196610:TKS196630 TUO196610:TUO196630 UEK196610:UEK196630 UOG196610:UOG196630 UYC196610:UYC196630 VHY196610:VHY196630 VRU196610:VRU196630 WBQ196610:WBQ196630 WLM196610:WLM196630 WVI196610:WVI196630 A262146:A262166 IW262146:IW262166 SS262146:SS262166 ACO262146:ACO262166 AMK262146:AMK262166 AWG262146:AWG262166 BGC262146:BGC262166 BPY262146:BPY262166 BZU262146:BZU262166 CJQ262146:CJQ262166 CTM262146:CTM262166 DDI262146:DDI262166 DNE262146:DNE262166 DXA262146:DXA262166 EGW262146:EGW262166 EQS262146:EQS262166 FAO262146:FAO262166 FKK262146:FKK262166 FUG262146:FUG262166 GEC262146:GEC262166 GNY262146:GNY262166 GXU262146:GXU262166 HHQ262146:HHQ262166 HRM262146:HRM262166 IBI262146:IBI262166 ILE262146:ILE262166 IVA262146:IVA262166 JEW262146:JEW262166 JOS262146:JOS262166 JYO262146:JYO262166 KIK262146:KIK262166 KSG262146:KSG262166 LCC262146:LCC262166 LLY262146:LLY262166 LVU262146:LVU262166 MFQ262146:MFQ262166 MPM262146:MPM262166 MZI262146:MZI262166 NJE262146:NJE262166 NTA262146:NTA262166 OCW262146:OCW262166 OMS262146:OMS262166 OWO262146:OWO262166 PGK262146:PGK262166 PQG262146:PQG262166 QAC262146:QAC262166 QJY262146:QJY262166 QTU262146:QTU262166 RDQ262146:RDQ262166 RNM262146:RNM262166 RXI262146:RXI262166 SHE262146:SHE262166 SRA262146:SRA262166 TAW262146:TAW262166 TKS262146:TKS262166 TUO262146:TUO262166 UEK262146:UEK262166 UOG262146:UOG262166 UYC262146:UYC262166 VHY262146:VHY262166 VRU262146:VRU262166 WBQ262146:WBQ262166 WLM262146:WLM262166 WVI262146:WVI262166 A327682:A327702 IW327682:IW327702 SS327682:SS327702 ACO327682:ACO327702 AMK327682:AMK327702 AWG327682:AWG327702 BGC327682:BGC327702 BPY327682:BPY327702 BZU327682:BZU327702 CJQ327682:CJQ327702 CTM327682:CTM327702 DDI327682:DDI327702 DNE327682:DNE327702 DXA327682:DXA327702 EGW327682:EGW327702 EQS327682:EQS327702 FAO327682:FAO327702 FKK327682:FKK327702 FUG327682:FUG327702 GEC327682:GEC327702 GNY327682:GNY327702 GXU327682:GXU327702 HHQ327682:HHQ327702 HRM327682:HRM327702 IBI327682:IBI327702 ILE327682:ILE327702 IVA327682:IVA327702 JEW327682:JEW327702 JOS327682:JOS327702 JYO327682:JYO327702 KIK327682:KIK327702 KSG327682:KSG327702 LCC327682:LCC327702 LLY327682:LLY327702 LVU327682:LVU327702 MFQ327682:MFQ327702 MPM327682:MPM327702 MZI327682:MZI327702 NJE327682:NJE327702 NTA327682:NTA327702 OCW327682:OCW327702 OMS327682:OMS327702 OWO327682:OWO327702 PGK327682:PGK327702 PQG327682:PQG327702 QAC327682:QAC327702 QJY327682:QJY327702 QTU327682:QTU327702 RDQ327682:RDQ327702 RNM327682:RNM327702 RXI327682:RXI327702 SHE327682:SHE327702 SRA327682:SRA327702 TAW327682:TAW327702 TKS327682:TKS327702 TUO327682:TUO327702 UEK327682:UEK327702 UOG327682:UOG327702 UYC327682:UYC327702 VHY327682:VHY327702 VRU327682:VRU327702 WBQ327682:WBQ327702 WLM327682:WLM327702 WVI327682:WVI327702 A393218:A393238 IW393218:IW393238 SS393218:SS393238 ACO393218:ACO393238 AMK393218:AMK393238 AWG393218:AWG393238 BGC393218:BGC393238 BPY393218:BPY393238 BZU393218:BZU393238 CJQ393218:CJQ393238 CTM393218:CTM393238 DDI393218:DDI393238 DNE393218:DNE393238 DXA393218:DXA393238 EGW393218:EGW393238 EQS393218:EQS393238 FAO393218:FAO393238 FKK393218:FKK393238 FUG393218:FUG393238 GEC393218:GEC393238 GNY393218:GNY393238 GXU393218:GXU393238 HHQ393218:HHQ393238 HRM393218:HRM393238 IBI393218:IBI393238 ILE393218:ILE393238 IVA393218:IVA393238 JEW393218:JEW393238 JOS393218:JOS393238 JYO393218:JYO393238 KIK393218:KIK393238 KSG393218:KSG393238 LCC393218:LCC393238 LLY393218:LLY393238 LVU393218:LVU393238 MFQ393218:MFQ393238 MPM393218:MPM393238 MZI393218:MZI393238 NJE393218:NJE393238 NTA393218:NTA393238 OCW393218:OCW393238 OMS393218:OMS393238 OWO393218:OWO393238 PGK393218:PGK393238 PQG393218:PQG393238 QAC393218:QAC393238 QJY393218:QJY393238 QTU393218:QTU393238 RDQ393218:RDQ393238 RNM393218:RNM393238 RXI393218:RXI393238 SHE393218:SHE393238 SRA393218:SRA393238 TAW393218:TAW393238 TKS393218:TKS393238 TUO393218:TUO393238 UEK393218:UEK393238 UOG393218:UOG393238 UYC393218:UYC393238 VHY393218:VHY393238 VRU393218:VRU393238 WBQ393218:WBQ393238 WLM393218:WLM393238 WVI393218:WVI393238 A458754:A458774 IW458754:IW458774 SS458754:SS458774 ACO458754:ACO458774 AMK458754:AMK458774 AWG458754:AWG458774 BGC458754:BGC458774 BPY458754:BPY458774 BZU458754:BZU458774 CJQ458754:CJQ458774 CTM458754:CTM458774 DDI458754:DDI458774 DNE458754:DNE458774 DXA458754:DXA458774 EGW458754:EGW458774 EQS458754:EQS458774 FAO458754:FAO458774 FKK458754:FKK458774 FUG458754:FUG458774 GEC458754:GEC458774 GNY458754:GNY458774 GXU458754:GXU458774 HHQ458754:HHQ458774 HRM458754:HRM458774 IBI458754:IBI458774 ILE458754:ILE458774 IVA458754:IVA458774 JEW458754:JEW458774 JOS458754:JOS458774 JYO458754:JYO458774 KIK458754:KIK458774 KSG458754:KSG458774 LCC458754:LCC458774 LLY458754:LLY458774 LVU458754:LVU458774 MFQ458754:MFQ458774 MPM458754:MPM458774 MZI458754:MZI458774 NJE458754:NJE458774 NTA458754:NTA458774 OCW458754:OCW458774 OMS458754:OMS458774 OWO458754:OWO458774 PGK458754:PGK458774 PQG458754:PQG458774 QAC458754:QAC458774 QJY458754:QJY458774 QTU458754:QTU458774 RDQ458754:RDQ458774 RNM458754:RNM458774 RXI458754:RXI458774 SHE458754:SHE458774 SRA458754:SRA458774 TAW458754:TAW458774 TKS458754:TKS458774 TUO458754:TUO458774 UEK458754:UEK458774 UOG458754:UOG458774 UYC458754:UYC458774 VHY458754:VHY458774 VRU458754:VRU458774 WBQ458754:WBQ458774 WLM458754:WLM458774 WVI458754:WVI458774 A524290:A524310 IW524290:IW524310 SS524290:SS524310 ACO524290:ACO524310 AMK524290:AMK524310 AWG524290:AWG524310 BGC524290:BGC524310 BPY524290:BPY524310 BZU524290:BZU524310 CJQ524290:CJQ524310 CTM524290:CTM524310 DDI524290:DDI524310 DNE524290:DNE524310 DXA524290:DXA524310 EGW524290:EGW524310 EQS524290:EQS524310 FAO524290:FAO524310 FKK524290:FKK524310 FUG524290:FUG524310 GEC524290:GEC524310 GNY524290:GNY524310 GXU524290:GXU524310 HHQ524290:HHQ524310 HRM524290:HRM524310 IBI524290:IBI524310 ILE524290:ILE524310 IVA524290:IVA524310 JEW524290:JEW524310 JOS524290:JOS524310 JYO524290:JYO524310 KIK524290:KIK524310 KSG524290:KSG524310 LCC524290:LCC524310 LLY524290:LLY524310 LVU524290:LVU524310 MFQ524290:MFQ524310 MPM524290:MPM524310 MZI524290:MZI524310 NJE524290:NJE524310 NTA524290:NTA524310 OCW524290:OCW524310 OMS524290:OMS524310 OWO524290:OWO524310 PGK524290:PGK524310 PQG524290:PQG524310 QAC524290:QAC524310 QJY524290:QJY524310 QTU524290:QTU524310 RDQ524290:RDQ524310 RNM524290:RNM524310 RXI524290:RXI524310 SHE524290:SHE524310 SRA524290:SRA524310 TAW524290:TAW524310 TKS524290:TKS524310 TUO524290:TUO524310 UEK524290:UEK524310 UOG524290:UOG524310 UYC524290:UYC524310 VHY524290:VHY524310 VRU524290:VRU524310 WBQ524290:WBQ524310 WLM524290:WLM524310 WVI524290:WVI524310 A589826:A589846 IW589826:IW589846 SS589826:SS589846 ACO589826:ACO589846 AMK589826:AMK589846 AWG589826:AWG589846 BGC589826:BGC589846 BPY589826:BPY589846 BZU589826:BZU589846 CJQ589826:CJQ589846 CTM589826:CTM589846 DDI589826:DDI589846 DNE589826:DNE589846 DXA589826:DXA589846 EGW589826:EGW589846 EQS589826:EQS589846 FAO589826:FAO589846 FKK589826:FKK589846 FUG589826:FUG589846 GEC589826:GEC589846 GNY589826:GNY589846 GXU589826:GXU589846 HHQ589826:HHQ589846 HRM589826:HRM589846 IBI589826:IBI589846 ILE589826:ILE589846 IVA589826:IVA589846 JEW589826:JEW589846 JOS589826:JOS589846 JYO589826:JYO589846 KIK589826:KIK589846 KSG589826:KSG589846 LCC589826:LCC589846 LLY589826:LLY589846 LVU589826:LVU589846 MFQ589826:MFQ589846 MPM589826:MPM589846 MZI589826:MZI589846 NJE589826:NJE589846 NTA589826:NTA589846 OCW589826:OCW589846 OMS589826:OMS589846 OWO589826:OWO589846 PGK589826:PGK589846 PQG589826:PQG589846 QAC589826:QAC589846 QJY589826:QJY589846 QTU589826:QTU589846 RDQ589826:RDQ589846 RNM589826:RNM589846 RXI589826:RXI589846 SHE589826:SHE589846 SRA589826:SRA589846 TAW589826:TAW589846 TKS589826:TKS589846 TUO589826:TUO589846 UEK589826:UEK589846 UOG589826:UOG589846 UYC589826:UYC589846 VHY589826:VHY589846 VRU589826:VRU589846 WBQ589826:WBQ589846 WLM589826:WLM589846 WVI589826:WVI589846 A655362:A655382 IW655362:IW655382 SS655362:SS655382 ACO655362:ACO655382 AMK655362:AMK655382 AWG655362:AWG655382 BGC655362:BGC655382 BPY655362:BPY655382 BZU655362:BZU655382 CJQ655362:CJQ655382 CTM655362:CTM655382 DDI655362:DDI655382 DNE655362:DNE655382 DXA655362:DXA655382 EGW655362:EGW655382 EQS655362:EQS655382 FAO655362:FAO655382 FKK655362:FKK655382 FUG655362:FUG655382 GEC655362:GEC655382 GNY655362:GNY655382 GXU655362:GXU655382 HHQ655362:HHQ655382 HRM655362:HRM655382 IBI655362:IBI655382 ILE655362:ILE655382 IVA655362:IVA655382 JEW655362:JEW655382 JOS655362:JOS655382 JYO655362:JYO655382 KIK655362:KIK655382 KSG655362:KSG655382 LCC655362:LCC655382 LLY655362:LLY655382 LVU655362:LVU655382 MFQ655362:MFQ655382 MPM655362:MPM655382 MZI655362:MZI655382 NJE655362:NJE655382 NTA655362:NTA655382 OCW655362:OCW655382 OMS655362:OMS655382 OWO655362:OWO655382 PGK655362:PGK655382 PQG655362:PQG655382 QAC655362:QAC655382 QJY655362:QJY655382 QTU655362:QTU655382 RDQ655362:RDQ655382 RNM655362:RNM655382 RXI655362:RXI655382 SHE655362:SHE655382 SRA655362:SRA655382 TAW655362:TAW655382 TKS655362:TKS655382 TUO655362:TUO655382 UEK655362:UEK655382 UOG655362:UOG655382 UYC655362:UYC655382 VHY655362:VHY655382 VRU655362:VRU655382 WBQ655362:WBQ655382 WLM655362:WLM655382 WVI655362:WVI655382 A720898:A720918 IW720898:IW720918 SS720898:SS720918 ACO720898:ACO720918 AMK720898:AMK720918 AWG720898:AWG720918 BGC720898:BGC720918 BPY720898:BPY720918 BZU720898:BZU720918 CJQ720898:CJQ720918 CTM720898:CTM720918 DDI720898:DDI720918 DNE720898:DNE720918 DXA720898:DXA720918 EGW720898:EGW720918 EQS720898:EQS720918 FAO720898:FAO720918 FKK720898:FKK720918 FUG720898:FUG720918 GEC720898:GEC720918 GNY720898:GNY720918 GXU720898:GXU720918 HHQ720898:HHQ720918 HRM720898:HRM720918 IBI720898:IBI720918 ILE720898:ILE720918 IVA720898:IVA720918 JEW720898:JEW720918 JOS720898:JOS720918 JYO720898:JYO720918 KIK720898:KIK720918 KSG720898:KSG720918 LCC720898:LCC720918 LLY720898:LLY720918 LVU720898:LVU720918 MFQ720898:MFQ720918 MPM720898:MPM720918 MZI720898:MZI720918 NJE720898:NJE720918 NTA720898:NTA720918 OCW720898:OCW720918 OMS720898:OMS720918 OWO720898:OWO720918 PGK720898:PGK720918 PQG720898:PQG720918 QAC720898:QAC720918 QJY720898:QJY720918 QTU720898:QTU720918 RDQ720898:RDQ720918 RNM720898:RNM720918 RXI720898:RXI720918 SHE720898:SHE720918 SRA720898:SRA720918 TAW720898:TAW720918 TKS720898:TKS720918 TUO720898:TUO720918 UEK720898:UEK720918 UOG720898:UOG720918 UYC720898:UYC720918 VHY720898:VHY720918 VRU720898:VRU720918 WBQ720898:WBQ720918 WLM720898:WLM720918 WVI720898:WVI720918 A786434:A786454 IW786434:IW786454 SS786434:SS786454 ACO786434:ACO786454 AMK786434:AMK786454 AWG786434:AWG786454 BGC786434:BGC786454 BPY786434:BPY786454 BZU786434:BZU786454 CJQ786434:CJQ786454 CTM786434:CTM786454 DDI786434:DDI786454 DNE786434:DNE786454 DXA786434:DXA786454 EGW786434:EGW786454 EQS786434:EQS786454 FAO786434:FAO786454 FKK786434:FKK786454 FUG786434:FUG786454 GEC786434:GEC786454 GNY786434:GNY786454 GXU786434:GXU786454 HHQ786434:HHQ786454 HRM786434:HRM786454 IBI786434:IBI786454 ILE786434:ILE786454 IVA786434:IVA786454 JEW786434:JEW786454 JOS786434:JOS786454 JYO786434:JYO786454 KIK786434:KIK786454 KSG786434:KSG786454 LCC786434:LCC786454 LLY786434:LLY786454 LVU786434:LVU786454 MFQ786434:MFQ786454 MPM786434:MPM786454 MZI786434:MZI786454 NJE786434:NJE786454 NTA786434:NTA786454 OCW786434:OCW786454 OMS786434:OMS786454 OWO786434:OWO786454 PGK786434:PGK786454 PQG786434:PQG786454 QAC786434:QAC786454 QJY786434:QJY786454 QTU786434:QTU786454 RDQ786434:RDQ786454 RNM786434:RNM786454 RXI786434:RXI786454 SHE786434:SHE786454 SRA786434:SRA786454 TAW786434:TAW786454 TKS786434:TKS786454 TUO786434:TUO786454 UEK786434:UEK786454 UOG786434:UOG786454 UYC786434:UYC786454 VHY786434:VHY786454 VRU786434:VRU786454 WBQ786434:WBQ786454 WLM786434:WLM786454 WVI786434:WVI786454 A851970:A851990 IW851970:IW851990 SS851970:SS851990 ACO851970:ACO851990 AMK851970:AMK851990 AWG851970:AWG851990 BGC851970:BGC851990 BPY851970:BPY851990 BZU851970:BZU851990 CJQ851970:CJQ851990 CTM851970:CTM851990 DDI851970:DDI851990 DNE851970:DNE851990 DXA851970:DXA851990 EGW851970:EGW851990 EQS851970:EQS851990 FAO851970:FAO851990 FKK851970:FKK851990 FUG851970:FUG851990 GEC851970:GEC851990 GNY851970:GNY851990 GXU851970:GXU851990 HHQ851970:HHQ851990 HRM851970:HRM851990 IBI851970:IBI851990 ILE851970:ILE851990 IVA851970:IVA851990 JEW851970:JEW851990 JOS851970:JOS851990 JYO851970:JYO851990 KIK851970:KIK851990 KSG851970:KSG851990 LCC851970:LCC851990 LLY851970:LLY851990 LVU851970:LVU851990 MFQ851970:MFQ851990 MPM851970:MPM851990 MZI851970:MZI851990 NJE851970:NJE851990 NTA851970:NTA851990 OCW851970:OCW851990 OMS851970:OMS851990 OWO851970:OWO851990 PGK851970:PGK851990 PQG851970:PQG851990 QAC851970:QAC851990 QJY851970:QJY851990 QTU851970:QTU851990 RDQ851970:RDQ851990 RNM851970:RNM851990 RXI851970:RXI851990 SHE851970:SHE851990 SRA851970:SRA851990 TAW851970:TAW851990 TKS851970:TKS851990 TUO851970:TUO851990 UEK851970:UEK851990 UOG851970:UOG851990 UYC851970:UYC851990 VHY851970:VHY851990 VRU851970:VRU851990 WBQ851970:WBQ851990 WLM851970:WLM851990 WVI851970:WVI851990 A917506:A917526 IW917506:IW917526 SS917506:SS917526 ACO917506:ACO917526 AMK917506:AMK917526 AWG917506:AWG917526 BGC917506:BGC917526 BPY917506:BPY917526 BZU917506:BZU917526 CJQ917506:CJQ917526 CTM917506:CTM917526 DDI917506:DDI917526 DNE917506:DNE917526 DXA917506:DXA917526 EGW917506:EGW917526 EQS917506:EQS917526 FAO917506:FAO917526 FKK917506:FKK917526 FUG917506:FUG917526 GEC917506:GEC917526 GNY917506:GNY917526 GXU917506:GXU917526 HHQ917506:HHQ917526 HRM917506:HRM917526 IBI917506:IBI917526 ILE917506:ILE917526 IVA917506:IVA917526 JEW917506:JEW917526 JOS917506:JOS917526 JYO917506:JYO917526 KIK917506:KIK917526 KSG917506:KSG917526 LCC917506:LCC917526 LLY917506:LLY917526 LVU917506:LVU917526 MFQ917506:MFQ917526 MPM917506:MPM917526 MZI917506:MZI917526 NJE917506:NJE917526 NTA917506:NTA917526 OCW917506:OCW917526 OMS917506:OMS917526 OWO917506:OWO917526 PGK917506:PGK917526 PQG917506:PQG917526 QAC917506:QAC917526 QJY917506:QJY917526 QTU917506:QTU917526 RDQ917506:RDQ917526 RNM917506:RNM917526 RXI917506:RXI917526 SHE917506:SHE917526 SRA917506:SRA917526 TAW917506:TAW917526 TKS917506:TKS917526 TUO917506:TUO917526 UEK917506:UEK917526 UOG917506:UOG917526 UYC917506:UYC917526 VHY917506:VHY917526 VRU917506:VRU917526 WBQ917506:WBQ917526 WLM917506:WLM917526 WVI917506:WVI917526 A983042:A983062 IW983042:IW983062 SS983042:SS983062 ACO983042:ACO983062 AMK983042:AMK983062 AWG983042:AWG983062 BGC983042:BGC983062 BPY983042:BPY983062 BZU983042:BZU983062 CJQ983042:CJQ983062 CTM983042:CTM983062 DDI983042:DDI983062 DNE983042:DNE983062 DXA983042:DXA983062 EGW983042:EGW983062 EQS983042:EQS983062 FAO983042:FAO983062 FKK983042:FKK983062 FUG983042:FUG983062 GEC983042:GEC983062 GNY983042:GNY983062 GXU983042:GXU983062 HHQ983042:HHQ983062 HRM983042:HRM983062 IBI983042:IBI983062 ILE983042:ILE983062 IVA983042:IVA983062 JEW983042:JEW983062 JOS983042:JOS983062 JYO983042:JYO983062 KIK983042:KIK983062 KSG983042:KSG983062 LCC983042:LCC983062 LLY983042:LLY983062 LVU983042:LVU983062 MFQ983042:MFQ983062 MPM983042:MPM983062 MZI983042:MZI983062 NJE983042:NJE983062 NTA983042:NTA983062 OCW983042:OCW983062 OMS983042:OMS983062 OWO983042:OWO983062 PGK983042:PGK983062 PQG983042:PQG983062 QAC983042:QAC983062 QJY983042:QJY983062 QTU983042:QTU983062 RDQ983042:RDQ983062 RNM983042:RNM983062 RXI983042:RXI983062 SHE983042:SHE983062 SRA983042:SRA983062 TAW983042:TAW983062 TKS983042:TKS983062 TUO983042:TUO983062 UEK983042:UEK983062 UOG983042:UOG983062 UYC983042:UYC983062 VHY983042:VHY983062 VRU983042:VRU983062 WBQ983042:WBQ983062 WLM983042:WLM983062 WVI983042:WVI983062">
      <formula1>$H$2:$H$6</formula1>
    </dataValidation>
  </dataValidation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3:R19"/>
  <sheetViews>
    <sheetView workbookViewId="0">
      <selection activeCell="B32" sqref="B32"/>
    </sheetView>
  </sheetViews>
  <sheetFormatPr defaultRowHeight="12.75" x14ac:dyDescent="0.2"/>
  <cols>
    <col min="1" max="1" width="9.140625" style="325"/>
    <col min="2" max="2" width="43.85546875" style="325" bestFit="1" customWidth="1"/>
    <col min="3" max="3" width="16" style="325" bestFit="1" customWidth="1"/>
    <col min="4" max="5" width="15.42578125" style="325" bestFit="1" customWidth="1"/>
    <col min="6" max="6" width="9.140625" style="325"/>
    <col min="7" max="8" width="15.42578125" style="325" bestFit="1" customWidth="1"/>
    <col min="9" max="18" width="9.140625" style="325"/>
    <col min="19" max="16384" width="9.140625" style="292"/>
  </cols>
  <sheetData>
    <row r="3" spans="2:8" s="292" customFormat="1" ht="18" x14ac:dyDescent="0.25">
      <c r="B3" s="335" t="s">
        <v>2037</v>
      </c>
      <c r="C3" s="339" t="s">
        <v>2043</v>
      </c>
      <c r="D3" s="339" t="s">
        <v>2042</v>
      </c>
      <c r="E3" s="339" t="s">
        <v>2041</v>
      </c>
      <c r="F3" s="340"/>
      <c r="G3" s="339" t="s">
        <v>2036</v>
      </c>
      <c r="H3" s="339" t="s">
        <v>2040</v>
      </c>
    </row>
    <row r="4" spans="2:8" s="292" customFormat="1" ht="18" x14ac:dyDescent="0.25">
      <c r="B4" s="334" t="s">
        <v>1331</v>
      </c>
      <c r="C4" s="338">
        <v>1000000</v>
      </c>
      <c r="D4" s="338">
        <v>1100000</v>
      </c>
      <c r="E4" s="338">
        <v>1200000</v>
      </c>
      <c r="F4" s="326"/>
      <c r="G4" s="338">
        <f t="shared" ref="G4:G9" si="0">SUM(C4:E4)</f>
        <v>3300000</v>
      </c>
      <c r="H4" s="338">
        <f t="shared" ref="H4:H9" si="1">AVERAGE(E4:E4)</f>
        <v>1200000</v>
      </c>
    </row>
    <row r="5" spans="2:8" s="292" customFormat="1" ht="18" x14ac:dyDescent="0.25">
      <c r="B5" s="334" t="s">
        <v>2031</v>
      </c>
      <c r="C5" s="338">
        <v>50000</v>
      </c>
      <c r="D5" s="338">
        <v>50000</v>
      </c>
      <c r="E5" s="338">
        <v>50000</v>
      </c>
      <c r="F5" s="326"/>
      <c r="G5" s="338">
        <f t="shared" si="0"/>
        <v>150000</v>
      </c>
      <c r="H5" s="338">
        <f t="shared" si="1"/>
        <v>50000</v>
      </c>
    </row>
    <row r="6" spans="2:8" s="292" customFormat="1" ht="18" x14ac:dyDescent="0.25">
      <c r="B6" s="334" t="s">
        <v>2030</v>
      </c>
      <c r="C6" s="338">
        <v>100000</v>
      </c>
      <c r="D6" s="338">
        <v>200000</v>
      </c>
      <c r="E6" s="338">
        <v>0</v>
      </c>
      <c r="F6" s="326"/>
      <c r="G6" s="338">
        <f t="shared" si="0"/>
        <v>300000</v>
      </c>
      <c r="H6" s="338">
        <f t="shared" si="1"/>
        <v>0</v>
      </c>
    </row>
    <row r="7" spans="2:8" s="292" customFormat="1" ht="18" x14ac:dyDescent="0.25">
      <c r="B7" s="334" t="s">
        <v>2029</v>
      </c>
      <c r="C7" s="338">
        <v>0</v>
      </c>
      <c r="D7" s="338">
        <v>50000</v>
      </c>
      <c r="E7" s="338">
        <v>100000</v>
      </c>
      <c r="F7" s="326"/>
      <c r="G7" s="338">
        <f t="shared" si="0"/>
        <v>150000</v>
      </c>
      <c r="H7" s="338">
        <f t="shared" si="1"/>
        <v>100000</v>
      </c>
    </row>
    <row r="8" spans="2:8" s="292" customFormat="1" ht="18.75" thickBot="1" x14ac:dyDescent="0.3">
      <c r="B8" s="332" t="s">
        <v>2028</v>
      </c>
      <c r="C8" s="337">
        <v>20000</v>
      </c>
      <c r="D8" s="337" t="s">
        <v>2039</v>
      </c>
      <c r="E8" s="337">
        <v>5000</v>
      </c>
      <c r="F8" s="326"/>
      <c r="G8" s="337">
        <f t="shared" si="0"/>
        <v>25000</v>
      </c>
      <c r="H8" s="337">
        <f t="shared" si="1"/>
        <v>5000</v>
      </c>
    </row>
    <row r="9" spans="2:8" s="292" customFormat="1" ht="18.75" thickTop="1" x14ac:dyDescent="0.25">
      <c r="B9" s="329" t="s">
        <v>2036</v>
      </c>
      <c r="C9" s="336">
        <f>SUM(C4:C8)</f>
        <v>1170000</v>
      </c>
      <c r="D9" s="336">
        <f>SUM(D4:D8)</f>
        <v>1400000</v>
      </c>
      <c r="E9" s="336">
        <f>SUM(E4:E8)</f>
        <v>1355000</v>
      </c>
      <c r="F9" s="326"/>
      <c r="G9" s="336">
        <f t="shared" si="0"/>
        <v>3925000</v>
      </c>
      <c r="H9" s="336">
        <f t="shared" si="1"/>
        <v>1355000</v>
      </c>
    </row>
    <row r="10" spans="2:8" s="292" customFormat="1" ht="18" x14ac:dyDescent="0.25">
      <c r="B10" s="326"/>
      <c r="C10" s="326"/>
      <c r="D10" s="326"/>
      <c r="E10" s="326"/>
      <c r="F10" s="326"/>
      <c r="G10" s="325"/>
      <c r="H10" s="326"/>
    </row>
    <row r="11" spans="2:8" s="292" customFormat="1" ht="18" x14ac:dyDescent="0.25">
      <c r="B11" s="335" t="s">
        <v>2038</v>
      </c>
      <c r="C11" s="330">
        <f>+C4/C9</f>
        <v>0.85470085470085466</v>
      </c>
      <c r="D11" s="330">
        <f>+D4/D9</f>
        <v>0.7857142857142857</v>
      </c>
      <c r="E11" s="330">
        <f>+E4/E9</f>
        <v>0.88560885608856088</v>
      </c>
      <c r="F11" s="326"/>
      <c r="G11" s="325"/>
      <c r="H11" s="326"/>
    </row>
    <row r="12" spans="2:8" s="292" customFormat="1" ht="18" x14ac:dyDescent="0.25">
      <c r="B12" s="326"/>
      <c r="C12" s="326"/>
      <c r="D12" s="326"/>
      <c r="E12" s="326"/>
      <c r="F12" s="326"/>
      <c r="G12" s="325"/>
      <c r="H12" s="326"/>
    </row>
    <row r="13" spans="2:8" s="292" customFormat="1" ht="18" x14ac:dyDescent="0.25">
      <c r="B13" s="335" t="s">
        <v>2037</v>
      </c>
      <c r="C13" s="326"/>
      <c r="D13" s="326"/>
      <c r="E13" s="326"/>
      <c r="F13" s="326"/>
      <c r="G13" s="325"/>
      <c r="H13" s="326"/>
    </row>
    <row r="14" spans="2:8" s="292" customFormat="1" ht="18" x14ac:dyDescent="0.25">
      <c r="B14" s="334" t="s">
        <v>1331</v>
      </c>
      <c r="C14" s="333"/>
      <c r="D14" s="330">
        <f t="shared" ref="D14:E19" si="2">+D4/C4-1</f>
        <v>0.10000000000000009</v>
      </c>
      <c r="E14" s="330">
        <f t="shared" si="2"/>
        <v>9.0909090909090828E-2</v>
      </c>
      <c r="F14" s="326"/>
      <c r="G14" s="325"/>
      <c r="H14" s="326"/>
    </row>
    <row r="15" spans="2:8" s="292" customFormat="1" ht="18" x14ac:dyDescent="0.25">
      <c r="B15" s="334" t="s">
        <v>2031</v>
      </c>
      <c r="C15" s="333"/>
      <c r="D15" s="330">
        <f t="shared" si="2"/>
        <v>0</v>
      </c>
      <c r="E15" s="330">
        <f t="shared" si="2"/>
        <v>0</v>
      </c>
      <c r="F15" s="326"/>
      <c r="G15" s="325"/>
      <c r="H15" s="326"/>
    </row>
    <row r="16" spans="2:8" s="292" customFormat="1" ht="18" x14ac:dyDescent="0.25">
      <c r="B16" s="334" t="s">
        <v>2030</v>
      </c>
      <c r="C16" s="333"/>
      <c r="D16" s="330">
        <f t="shared" si="2"/>
        <v>1</v>
      </c>
      <c r="E16" s="330">
        <f t="shared" si="2"/>
        <v>-1</v>
      </c>
      <c r="F16" s="326"/>
      <c r="G16" s="325"/>
      <c r="H16" s="326"/>
    </row>
    <row r="17" spans="2:8" s="292" customFormat="1" ht="18" x14ac:dyDescent="0.25">
      <c r="B17" s="334" t="s">
        <v>2029</v>
      </c>
      <c r="C17" s="333"/>
      <c r="D17" s="330" t="e">
        <f t="shared" si="2"/>
        <v>#DIV/0!</v>
      </c>
      <c r="E17" s="330">
        <f t="shared" si="2"/>
        <v>1</v>
      </c>
      <c r="F17" s="326"/>
      <c r="G17" s="325"/>
      <c r="H17" s="326"/>
    </row>
    <row r="18" spans="2:8" s="292" customFormat="1" ht="18.75" thickBot="1" x14ac:dyDescent="0.3">
      <c r="B18" s="332" t="s">
        <v>2028</v>
      </c>
      <c r="C18" s="331"/>
      <c r="D18" s="330" t="e">
        <f t="shared" si="2"/>
        <v>#VALUE!</v>
      </c>
      <c r="E18" s="330" t="e">
        <f t="shared" si="2"/>
        <v>#VALUE!</v>
      </c>
      <c r="F18" s="326"/>
      <c r="G18" s="325"/>
      <c r="H18" s="326"/>
    </row>
    <row r="19" spans="2:8" s="292" customFormat="1" ht="18.75" thickTop="1" x14ac:dyDescent="0.25">
      <c r="B19" s="329" t="s">
        <v>2036</v>
      </c>
      <c r="C19" s="328"/>
      <c r="D19" s="327">
        <f t="shared" si="2"/>
        <v>0.19658119658119655</v>
      </c>
      <c r="E19" s="327">
        <f t="shared" si="2"/>
        <v>-3.214285714285714E-2</v>
      </c>
      <c r="F19" s="326"/>
      <c r="G19" s="325"/>
      <c r="H19" s="326"/>
    </row>
  </sheetData>
  <dataValidations count="1">
    <dataValidation type="whole" errorStyle="information" allowBlank="1" showInputMessage="1" showErrorMessage="1" sqref="C4:E8 IY4:JA8 SU4:SW8 ACQ4:ACS8 AMM4:AMO8 AWI4:AWK8 BGE4:BGG8 BQA4:BQC8 BZW4:BZY8 CJS4:CJU8 CTO4:CTQ8 DDK4:DDM8 DNG4:DNI8 DXC4:DXE8 EGY4:EHA8 EQU4:EQW8 FAQ4:FAS8 FKM4:FKO8 FUI4:FUK8 GEE4:GEG8 GOA4:GOC8 GXW4:GXY8 HHS4:HHU8 HRO4:HRQ8 IBK4:IBM8 ILG4:ILI8 IVC4:IVE8 JEY4:JFA8 JOU4:JOW8 JYQ4:JYS8 KIM4:KIO8 KSI4:KSK8 LCE4:LCG8 LMA4:LMC8 LVW4:LVY8 MFS4:MFU8 MPO4:MPQ8 MZK4:MZM8 NJG4:NJI8 NTC4:NTE8 OCY4:ODA8 OMU4:OMW8 OWQ4:OWS8 PGM4:PGO8 PQI4:PQK8 QAE4:QAG8 QKA4:QKC8 QTW4:QTY8 RDS4:RDU8 RNO4:RNQ8 RXK4:RXM8 SHG4:SHI8 SRC4:SRE8 TAY4:TBA8 TKU4:TKW8 TUQ4:TUS8 UEM4:UEO8 UOI4:UOK8 UYE4:UYG8 VIA4:VIC8 VRW4:VRY8 WBS4:WBU8 WLO4:WLQ8 WVK4:WVM8 C65540:E65544 IY65540:JA65544 SU65540:SW65544 ACQ65540:ACS65544 AMM65540:AMO65544 AWI65540:AWK65544 BGE65540:BGG65544 BQA65540:BQC65544 BZW65540:BZY65544 CJS65540:CJU65544 CTO65540:CTQ65544 DDK65540:DDM65544 DNG65540:DNI65544 DXC65540:DXE65544 EGY65540:EHA65544 EQU65540:EQW65544 FAQ65540:FAS65544 FKM65540:FKO65544 FUI65540:FUK65544 GEE65540:GEG65544 GOA65540:GOC65544 GXW65540:GXY65544 HHS65540:HHU65544 HRO65540:HRQ65544 IBK65540:IBM65544 ILG65540:ILI65544 IVC65540:IVE65544 JEY65540:JFA65544 JOU65540:JOW65544 JYQ65540:JYS65544 KIM65540:KIO65544 KSI65540:KSK65544 LCE65540:LCG65544 LMA65540:LMC65544 LVW65540:LVY65544 MFS65540:MFU65544 MPO65540:MPQ65544 MZK65540:MZM65544 NJG65540:NJI65544 NTC65540:NTE65544 OCY65540:ODA65544 OMU65540:OMW65544 OWQ65540:OWS65544 PGM65540:PGO65544 PQI65540:PQK65544 QAE65540:QAG65544 QKA65540:QKC65544 QTW65540:QTY65544 RDS65540:RDU65544 RNO65540:RNQ65544 RXK65540:RXM65544 SHG65540:SHI65544 SRC65540:SRE65544 TAY65540:TBA65544 TKU65540:TKW65544 TUQ65540:TUS65544 UEM65540:UEO65544 UOI65540:UOK65544 UYE65540:UYG65544 VIA65540:VIC65544 VRW65540:VRY65544 WBS65540:WBU65544 WLO65540:WLQ65544 WVK65540:WVM65544 C131076:E131080 IY131076:JA131080 SU131076:SW131080 ACQ131076:ACS131080 AMM131076:AMO131080 AWI131076:AWK131080 BGE131076:BGG131080 BQA131076:BQC131080 BZW131076:BZY131080 CJS131076:CJU131080 CTO131076:CTQ131080 DDK131076:DDM131080 DNG131076:DNI131080 DXC131076:DXE131080 EGY131076:EHA131080 EQU131076:EQW131080 FAQ131076:FAS131080 FKM131076:FKO131080 FUI131076:FUK131080 GEE131076:GEG131080 GOA131076:GOC131080 GXW131076:GXY131080 HHS131076:HHU131080 HRO131076:HRQ131080 IBK131076:IBM131080 ILG131076:ILI131080 IVC131076:IVE131080 JEY131076:JFA131080 JOU131076:JOW131080 JYQ131076:JYS131080 KIM131076:KIO131080 KSI131076:KSK131080 LCE131076:LCG131080 LMA131076:LMC131080 LVW131076:LVY131080 MFS131076:MFU131080 MPO131076:MPQ131080 MZK131076:MZM131080 NJG131076:NJI131080 NTC131076:NTE131080 OCY131076:ODA131080 OMU131076:OMW131080 OWQ131076:OWS131080 PGM131076:PGO131080 PQI131076:PQK131080 QAE131076:QAG131080 QKA131076:QKC131080 QTW131076:QTY131080 RDS131076:RDU131080 RNO131076:RNQ131080 RXK131076:RXM131080 SHG131076:SHI131080 SRC131076:SRE131080 TAY131076:TBA131080 TKU131076:TKW131080 TUQ131076:TUS131080 UEM131076:UEO131080 UOI131076:UOK131080 UYE131076:UYG131080 VIA131076:VIC131080 VRW131076:VRY131080 WBS131076:WBU131080 WLO131076:WLQ131080 WVK131076:WVM131080 C196612:E196616 IY196612:JA196616 SU196612:SW196616 ACQ196612:ACS196616 AMM196612:AMO196616 AWI196612:AWK196616 BGE196612:BGG196616 BQA196612:BQC196616 BZW196612:BZY196616 CJS196612:CJU196616 CTO196612:CTQ196616 DDK196612:DDM196616 DNG196612:DNI196616 DXC196612:DXE196616 EGY196612:EHA196616 EQU196612:EQW196616 FAQ196612:FAS196616 FKM196612:FKO196616 FUI196612:FUK196616 GEE196612:GEG196616 GOA196612:GOC196616 GXW196612:GXY196616 HHS196612:HHU196616 HRO196612:HRQ196616 IBK196612:IBM196616 ILG196612:ILI196616 IVC196612:IVE196616 JEY196612:JFA196616 JOU196612:JOW196616 JYQ196612:JYS196616 KIM196612:KIO196616 KSI196612:KSK196616 LCE196612:LCG196616 LMA196612:LMC196616 LVW196612:LVY196616 MFS196612:MFU196616 MPO196612:MPQ196616 MZK196612:MZM196616 NJG196612:NJI196616 NTC196612:NTE196616 OCY196612:ODA196616 OMU196612:OMW196616 OWQ196612:OWS196616 PGM196612:PGO196616 PQI196612:PQK196616 QAE196612:QAG196616 QKA196612:QKC196616 QTW196612:QTY196616 RDS196612:RDU196616 RNO196612:RNQ196616 RXK196612:RXM196616 SHG196612:SHI196616 SRC196612:SRE196616 TAY196612:TBA196616 TKU196612:TKW196616 TUQ196612:TUS196616 UEM196612:UEO196616 UOI196612:UOK196616 UYE196612:UYG196616 VIA196612:VIC196616 VRW196612:VRY196616 WBS196612:WBU196616 WLO196612:WLQ196616 WVK196612:WVM196616 C262148:E262152 IY262148:JA262152 SU262148:SW262152 ACQ262148:ACS262152 AMM262148:AMO262152 AWI262148:AWK262152 BGE262148:BGG262152 BQA262148:BQC262152 BZW262148:BZY262152 CJS262148:CJU262152 CTO262148:CTQ262152 DDK262148:DDM262152 DNG262148:DNI262152 DXC262148:DXE262152 EGY262148:EHA262152 EQU262148:EQW262152 FAQ262148:FAS262152 FKM262148:FKO262152 FUI262148:FUK262152 GEE262148:GEG262152 GOA262148:GOC262152 GXW262148:GXY262152 HHS262148:HHU262152 HRO262148:HRQ262152 IBK262148:IBM262152 ILG262148:ILI262152 IVC262148:IVE262152 JEY262148:JFA262152 JOU262148:JOW262152 JYQ262148:JYS262152 KIM262148:KIO262152 KSI262148:KSK262152 LCE262148:LCG262152 LMA262148:LMC262152 LVW262148:LVY262152 MFS262148:MFU262152 MPO262148:MPQ262152 MZK262148:MZM262152 NJG262148:NJI262152 NTC262148:NTE262152 OCY262148:ODA262152 OMU262148:OMW262152 OWQ262148:OWS262152 PGM262148:PGO262152 PQI262148:PQK262152 QAE262148:QAG262152 QKA262148:QKC262152 QTW262148:QTY262152 RDS262148:RDU262152 RNO262148:RNQ262152 RXK262148:RXM262152 SHG262148:SHI262152 SRC262148:SRE262152 TAY262148:TBA262152 TKU262148:TKW262152 TUQ262148:TUS262152 UEM262148:UEO262152 UOI262148:UOK262152 UYE262148:UYG262152 VIA262148:VIC262152 VRW262148:VRY262152 WBS262148:WBU262152 WLO262148:WLQ262152 WVK262148:WVM262152 C327684:E327688 IY327684:JA327688 SU327684:SW327688 ACQ327684:ACS327688 AMM327684:AMO327688 AWI327684:AWK327688 BGE327684:BGG327688 BQA327684:BQC327688 BZW327684:BZY327688 CJS327684:CJU327688 CTO327684:CTQ327688 DDK327684:DDM327688 DNG327684:DNI327688 DXC327684:DXE327688 EGY327684:EHA327688 EQU327684:EQW327688 FAQ327684:FAS327688 FKM327684:FKO327688 FUI327684:FUK327688 GEE327684:GEG327688 GOA327684:GOC327688 GXW327684:GXY327688 HHS327684:HHU327688 HRO327684:HRQ327688 IBK327684:IBM327688 ILG327684:ILI327688 IVC327684:IVE327688 JEY327684:JFA327688 JOU327684:JOW327688 JYQ327684:JYS327688 KIM327684:KIO327688 KSI327684:KSK327688 LCE327684:LCG327688 LMA327684:LMC327688 LVW327684:LVY327688 MFS327684:MFU327688 MPO327684:MPQ327688 MZK327684:MZM327688 NJG327684:NJI327688 NTC327684:NTE327688 OCY327684:ODA327688 OMU327684:OMW327688 OWQ327684:OWS327688 PGM327684:PGO327688 PQI327684:PQK327688 QAE327684:QAG327688 QKA327684:QKC327688 QTW327684:QTY327688 RDS327684:RDU327688 RNO327684:RNQ327688 RXK327684:RXM327688 SHG327684:SHI327688 SRC327684:SRE327688 TAY327684:TBA327688 TKU327684:TKW327688 TUQ327684:TUS327688 UEM327684:UEO327688 UOI327684:UOK327688 UYE327684:UYG327688 VIA327684:VIC327688 VRW327684:VRY327688 WBS327684:WBU327688 WLO327684:WLQ327688 WVK327684:WVM327688 C393220:E393224 IY393220:JA393224 SU393220:SW393224 ACQ393220:ACS393224 AMM393220:AMO393224 AWI393220:AWK393224 BGE393220:BGG393224 BQA393220:BQC393224 BZW393220:BZY393224 CJS393220:CJU393224 CTO393220:CTQ393224 DDK393220:DDM393224 DNG393220:DNI393224 DXC393220:DXE393224 EGY393220:EHA393224 EQU393220:EQW393224 FAQ393220:FAS393224 FKM393220:FKO393224 FUI393220:FUK393224 GEE393220:GEG393224 GOA393220:GOC393224 GXW393220:GXY393224 HHS393220:HHU393224 HRO393220:HRQ393224 IBK393220:IBM393224 ILG393220:ILI393224 IVC393220:IVE393224 JEY393220:JFA393224 JOU393220:JOW393224 JYQ393220:JYS393224 KIM393220:KIO393224 KSI393220:KSK393224 LCE393220:LCG393224 LMA393220:LMC393224 LVW393220:LVY393224 MFS393220:MFU393224 MPO393220:MPQ393224 MZK393220:MZM393224 NJG393220:NJI393224 NTC393220:NTE393224 OCY393220:ODA393224 OMU393220:OMW393224 OWQ393220:OWS393224 PGM393220:PGO393224 PQI393220:PQK393224 QAE393220:QAG393224 QKA393220:QKC393224 QTW393220:QTY393224 RDS393220:RDU393224 RNO393220:RNQ393224 RXK393220:RXM393224 SHG393220:SHI393224 SRC393220:SRE393224 TAY393220:TBA393224 TKU393220:TKW393224 TUQ393220:TUS393224 UEM393220:UEO393224 UOI393220:UOK393224 UYE393220:UYG393224 VIA393220:VIC393224 VRW393220:VRY393224 WBS393220:WBU393224 WLO393220:WLQ393224 WVK393220:WVM393224 C458756:E458760 IY458756:JA458760 SU458756:SW458760 ACQ458756:ACS458760 AMM458756:AMO458760 AWI458756:AWK458760 BGE458756:BGG458760 BQA458756:BQC458760 BZW458756:BZY458760 CJS458756:CJU458760 CTO458756:CTQ458760 DDK458756:DDM458760 DNG458756:DNI458760 DXC458756:DXE458760 EGY458756:EHA458760 EQU458756:EQW458760 FAQ458756:FAS458760 FKM458756:FKO458760 FUI458756:FUK458760 GEE458756:GEG458760 GOA458756:GOC458760 GXW458756:GXY458760 HHS458756:HHU458760 HRO458756:HRQ458760 IBK458756:IBM458760 ILG458756:ILI458760 IVC458756:IVE458760 JEY458756:JFA458760 JOU458756:JOW458760 JYQ458756:JYS458760 KIM458756:KIO458760 KSI458756:KSK458760 LCE458756:LCG458760 LMA458756:LMC458760 LVW458756:LVY458760 MFS458756:MFU458760 MPO458756:MPQ458760 MZK458756:MZM458760 NJG458756:NJI458760 NTC458756:NTE458760 OCY458756:ODA458760 OMU458756:OMW458760 OWQ458756:OWS458760 PGM458756:PGO458760 PQI458756:PQK458760 QAE458756:QAG458760 QKA458756:QKC458760 QTW458756:QTY458760 RDS458756:RDU458760 RNO458756:RNQ458760 RXK458756:RXM458760 SHG458756:SHI458760 SRC458756:SRE458760 TAY458756:TBA458760 TKU458756:TKW458760 TUQ458756:TUS458760 UEM458756:UEO458760 UOI458756:UOK458760 UYE458756:UYG458760 VIA458756:VIC458760 VRW458756:VRY458760 WBS458756:WBU458760 WLO458756:WLQ458760 WVK458756:WVM458760 C524292:E524296 IY524292:JA524296 SU524292:SW524296 ACQ524292:ACS524296 AMM524292:AMO524296 AWI524292:AWK524296 BGE524292:BGG524296 BQA524292:BQC524296 BZW524292:BZY524296 CJS524292:CJU524296 CTO524292:CTQ524296 DDK524292:DDM524296 DNG524292:DNI524296 DXC524292:DXE524296 EGY524292:EHA524296 EQU524292:EQW524296 FAQ524292:FAS524296 FKM524292:FKO524296 FUI524292:FUK524296 GEE524292:GEG524296 GOA524292:GOC524296 GXW524292:GXY524296 HHS524292:HHU524296 HRO524292:HRQ524296 IBK524292:IBM524296 ILG524292:ILI524296 IVC524292:IVE524296 JEY524292:JFA524296 JOU524292:JOW524296 JYQ524292:JYS524296 KIM524292:KIO524296 KSI524292:KSK524296 LCE524292:LCG524296 LMA524292:LMC524296 LVW524292:LVY524296 MFS524292:MFU524296 MPO524292:MPQ524296 MZK524292:MZM524296 NJG524292:NJI524296 NTC524292:NTE524296 OCY524292:ODA524296 OMU524292:OMW524296 OWQ524292:OWS524296 PGM524292:PGO524296 PQI524292:PQK524296 QAE524292:QAG524296 QKA524292:QKC524296 QTW524292:QTY524296 RDS524292:RDU524296 RNO524292:RNQ524296 RXK524292:RXM524296 SHG524292:SHI524296 SRC524292:SRE524296 TAY524292:TBA524296 TKU524292:TKW524296 TUQ524292:TUS524296 UEM524292:UEO524296 UOI524292:UOK524296 UYE524292:UYG524296 VIA524292:VIC524296 VRW524292:VRY524296 WBS524292:WBU524296 WLO524292:WLQ524296 WVK524292:WVM524296 C589828:E589832 IY589828:JA589832 SU589828:SW589832 ACQ589828:ACS589832 AMM589828:AMO589832 AWI589828:AWK589832 BGE589828:BGG589832 BQA589828:BQC589832 BZW589828:BZY589832 CJS589828:CJU589832 CTO589828:CTQ589832 DDK589828:DDM589832 DNG589828:DNI589832 DXC589828:DXE589832 EGY589828:EHA589832 EQU589828:EQW589832 FAQ589828:FAS589832 FKM589828:FKO589832 FUI589828:FUK589832 GEE589828:GEG589832 GOA589828:GOC589832 GXW589828:GXY589832 HHS589828:HHU589832 HRO589828:HRQ589832 IBK589828:IBM589832 ILG589828:ILI589832 IVC589828:IVE589832 JEY589828:JFA589832 JOU589828:JOW589832 JYQ589828:JYS589832 KIM589828:KIO589832 KSI589828:KSK589832 LCE589828:LCG589832 LMA589828:LMC589832 LVW589828:LVY589832 MFS589828:MFU589832 MPO589828:MPQ589832 MZK589828:MZM589832 NJG589828:NJI589832 NTC589828:NTE589832 OCY589828:ODA589832 OMU589828:OMW589832 OWQ589828:OWS589832 PGM589828:PGO589832 PQI589828:PQK589832 QAE589828:QAG589832 QKA589828:QKC589832 QTW589828:QTY589832 RDS589828:RDU589832 RNO589828:RNQ589832 RXK589828:RXM589832 SHG589828:SHI589832 SRC589828:SRE589832 TAY589828:TBA589832 TKU589828:TKW589832 TUQ589828:TUS589832 UEM589828:UEO589832 UOI589828:UOK589832 UYE589828:UYG589832 VIA589828:VIC589832 VRW589828:VRY589832 WBS589828:WBU589832 WLO589828:WLQ589832 WVK589828:WVM589832 C655364:E655368 IY655364:JA655368 SU655364:SW655368 ACQ655364:ACS655368 AMM655364:AMO655368 AWI655364:AWK655368 BGE655364:BGG655368 BQA655364:BQC655368 BZW655364:BZY655368 CJS655364:CJU655368 CTO655364:CTQ655368 DDK655364:DDM655368 DNG655364:DNI655368 DXC655364:DXE655368 EGY655364:EHA655368 EQU655364:EQW655368 FAQ655364:FAS655368 FKM655364:FKO655368 FUI655364:FUK655368 GEE655364:GEG655368 GOA655364:GOC655368 GXW655364:GXY655368 HHS655364:HHU655368 HRO655364:HRQ655368 IBK655364:IBM655368 ILG655364:ILI655368 IVC655364:IVE655368 JEY655364:JFA655368 JOU655364:JOW655368 JYQ655364:JYS655368 KIM655364:KIO655368 KSI655364:KSK655368 LCE655364:LCG655368 LMA655364:LMC655368 LVW655364:LVY655368 MFS655364:MFU655368 MPO655364:MPQ655368 MZK655364:MZM655368 NJG655364:NJI655368 NTC655364:NTE655368 OCY655364:ODA655368 OMU655364:OMW655368 OWQ655364:OWS655368 PGM655364:PGO655368 PQI655364:PQK655368 QAE655364:QAG655368 QKA655364:QKC655368 QTW655364:QTY655368 RDS655364:RDU655368 RNO655364:RNQ655368 RXK655364:RXM655368 SHG655364:SHI655368 SRC655364:SRE655368 TAY655364:TBA655368 TKU655364:TKW655368 TUQ655364:TUS655368 UEM655364:UEO655368 UOI655364:UOK655368 UYE655364:UYG655368 VIA655364:VIC655368 VRW655364:VRY655368 WBS655364:WBU655368 WLO655364:WLQ655368 WVK655364:WVM655368 C720900:E720904 IY720900:JA720904 SU720900:SW720904 ACQ720900:ACS720904 AMM720900:AMO720904 AWI720900:AWK720904 BGE720900:BGG720904 BQA720900:BQC720904 BZW720900:BZY720904 CJS720900:CJU720904 CTO720900:CTQ720904 DDK720900:DDM720904 DNG720900:DNI720904 DXC720900:DXE720904 EGY720900:EHA720904 EQU720900:EQW720904 FAQ720900:FAS720904 FKM720900:FKO720904 FUI720900:FUK720904 GEE720900:GEG720904 GOA720900:GOC720904 GXW720900:GXY720904 HHS720900:HHU720904 HRO720900:HRQ720904 IBK720900:IBM720904 ILG720900:ILI720904 IVC720900:IVE720904 JEY720900:JFA720904 JOU720900:JOW720904 JYQ720900:JYS720904 KIM720900:KIO720904 KSI720900:KSK720904 LCE720900:LCG720904 LMA720900:LMC720904 LVW720900:LVY720904 MFS720900:MFU720904 MPO720900:MPQ720904 MZK720900:MZM720904 NJG720900:NJI720904 NTC720900:NTE720904 OCY720900:ODA720904 OMU720900:OMW720904 OWQ720900:OWS720904 PGM720900:PGO720904 PQI720900:PQK720904 QAE720900:QAG720904 QKA720900:QKC720904 QTW720900:QTY720904 RDS720900:RDU720904 RNO720900:RNQ720904 RXK720900:RXM720904 SHG720900:SHI720904 SRC720900:SRE720904 TAY720900:TBA720904 TKU720900:TKW720904 TUQ720900:TUS720904 UEM720900:UEO720904 UOI720900:UOK720904 UYE720900:UYG720904 VIA720900:VIC720904 VRW720900:VRY720904 WBS720900:WBU720904 WLO720900:WLQ720904 WVK720900:WVM720904 C786436:E786440 IY786436:JA786440 SU786436:SW786440 ACQ786436:ACS786440 AMM786436:AMO786440 AWI786436:AWK786440 BGE786436:BGG786440 BQA786436:BQC786440 BZW786436:BZY786440 CJS786436:CJU786440 CTO786436:CTQ786440 DDK786436:DDM786440 DNG786436:DNI786440 DXC786436:DXE786440 EGY786436:EHA786440 EQU786436:EQW786440 FAQ786436:FAS786440 FKM786436:FKO786440 FUI786436:FUK786440 GEE786436:GEG786440 GOA786436:GOC786440 GXW786436:GXY786440 HHS786436:HHU786440 HRO786436:HRQ786440 IBK786436:IBM786440 ILG786436:ILI786440 IVC786436:IVE786440 JEY786436:JFA786440 JOU786436:JOW786440 JYQ786436:JYS786440 KIM786436:KIO786440 KSI786436:KSK786440 LCE786436:LCG786440 LMA786436:LMC786440 LVW786436:LVY786440 MFS786436:MFU786440 MPO786436:MPQ786440 MZK786436:MZM786440 NJG786436:NJI786440 NTC786436:NTE786440 OCY786436:ODA786440 OMU786436:OMW786440 OWQ786436:OWS786440 PGM786436:PGO786440 PQI786436:PQK786440 QAE786436:QAG786440 QKA786436:QKC786440 QTW786436:QTY786440 RDS786436:RDU786440 RNO786436:RNQ786440 RXK786436:RXM786440 SHG786436:SHI786440 SRC786436:SRE786440 TAY786436:TBA786440 TKU786436:TKW786440 TUQ786436:TUS786440 UEM786436:UEO786440 UOI786436:UOK786440 UYE786436:UYG786440 VIA786436:VIC786440 VRW786436:VRY786440 WBS786436:WBU786440 WLO786436:WLQ786440 WVK786436:WVM786440 C851972:E851976 IY851972:JA851976 SU851972:SW851976 ACQ851972:ACS851976 AMM851972:AMO851976 AWI851972:AWK851976 BGE851972:BGG851976 BQA851972:BQC851976 BZW851972:BZY851976 CJS851972:CJU851976 CTO851972:CTQ851976 DDK851972:DDM851976 DNG851972:DNI851976 DXC851972:DXE851976 EGY851972:EHA851976 EQU851972:EQW851976 FAQ851972:FAS851976 FKM851972:FKO851976 FUI851972:FUK851976 GEE851972:GEG851976 GOA851972:GOC851976 GXW851972:GXY851976 HHS851972:HHU851976 HRO851972:HRQ851976 IBK851972:IBM851976 ILG851972:ILI851976 IVC851972:IVE851976 JEY851972:JFA851976 JOU851972:JOW851976 JYQ851972:JYS851976 KIM851972:KIO851976 KSI851972:KSK851976 LCE851972:LCG851976 LMA851972:LMC851976 LVW851972:LVY851976 MFS851972:MFU851976 MPO851972:MPQ851976 MZK851972:MZM851976 NJG851972:NJI851976 NTC851972:NTE851976 OCY851972:ODA851976 OMU851972:OMW851976 OWQ851972:OWS851976 PGM851972:PGO851976 PQI851972:PQK851976 QAE851972:QAG851976 QKA851972:QKC851976 QTW851972:QTY851976 RDS851972:RDU851976 RNO851972:RNQ851976 RXK851972:RXM851976 SHG851972:SHI851976 SRC851972:SRE851976 TAY851972:TBA851976 TKU851972:TKW851976 TUQ851972:TUS851976 UEM851972:UEO851976 UOI851972:UOK851976 UYE851972:UYG851976 VIA851972:VIC851976 VRW851972:VRY851976 WBS851972:WBU851976 WLO851972:WLQ851976 WVK851972:WVM851976 C917508:E917512 IY917508:JA917512 SU917508:SW917512 ACQ917508:ACS917512 AMM917508:AMO917512 AWI917508:AWK917512 BGE917508:BGG917512 BQA917508:BQC917512 BZW917508:BZY917512 CJS917508:CJU917512 CTO917508:CTQ917512 DDK917508:DDM917512 DNG917508:DNI917512 DXC917508:DXE917512 EGY917508:EHA917512 EQU917508:EQW917512 FAQ917508:FAS917512 FKM917508:FKO917512 FUI917508:FUK917512 GEE917508:GEG917512 GOA917508:GOC917512 GXW917508:GXY917512 HHS917508:HHU917512 HRO917508:HRQ917512 IBK917508:IBM917512 ILG917508:ILI917512 IVC917508:IVE917512 JEY917508:JFA917512 JOU917508:JOW917512 JYQ917508:JYS917512 KIM917508:KIO917512 KSI917508:KSK917512 LCE917508:LCG917512 LMA917508:LMC917512 LVW917508:LVY917512 MFS917508:MFU917512 MPO917508:MPQ917512 MZK917508:MZM917512 NJG917508:NJI917512 NTC917508:NTE917512 OCY917508:ODA917512 OMU917508:OMW917512 OWQ917508:OWS917512 PGM917508:PGO917512 PQI917508:PQK917512 QAE917508:QAG917512 QKA917508:QKC917512 QTW917508:QTY917512 RDS917508:RDU917512 RNO917508:RNQ917512 RXK917508:RXM917512 SHG917508:SHI917512 SRC917508:SRE917512 TAY917508:TBA917512 TKU917508:TKW917512 TUQ917508:TUS917512 UEM917508:UEO917512 UOI917508:UOK917512 UYE917508:UYG917512 VIA917508:VIC917512 VRW917508:VRY917512 WBS917508:WBU917512 WLO917508:WLQ917512 WVK917508:WVM917512 C983044:E983048 IY983044:JA983048 SU983044:SW983048 ACQ983044:ACS983048 AMM983044:AMO983048 AWI983044:AWK983048 BGE983044:BGG983048 BQA983044:BQC983048 BZW983044:BZY983048 CJS983044:CJU983048 CTO983044:CTQ983048 DDK983044:DDM983048 DNG983044:DNI983048 DXC983044:DXE983048 EGY983044:EHA983048 EQU983044:EQW983048 FAQ983044:FAS983048 FKM983044:FKO983048 FUI983044:FUK983048 GEE983044:GEG983048 GOA983044:GOC983048 GXW983044:GXY983048 HHS983044:HHU983048 HRO983044:HRQ983048 IBK983044:IBM983048 ILG983044:ILI983048 IVC983044:IVE983048 JEY983044:JFA983048 JOU983044:JOW983048 JYQ983044:JYS983048 KIM983044:KIO983048 KSI983044:KSK983048 LCE983044:LCG983048 LMA983044:LMC983048 LVW983044:LVY983048 MFS983044:MFU983048 MPO983044:MPQ983048 MZK983044:MZM983048 NJG983044:NJI983048 NTC983044:NTE983048 OCY983044:ODA983048 OMU983044:OMW983048 OWQ983044:OWS983048 PGM983044:PGO983048 PQI983044:PQK983048 QAE983044:QAG983048 QKA983044:QKC983048 QTW983044:QTY983048 RDS983044:RDU983048 RNO983044:RNQ983048 RXK983044:RXM983048 SHG983044:SHI983048 SRC983044:SRE983048 TAY983044:TBA983048 TKU983044:TKW983048 TUQ983044:TUS983048 UEM983044:UEO983048 UOI983044:UOK983048 UYE983044:UYG983048 VIA983044:VIC983048 VRW983044:VRY983048 WBS983044:WBU983048 WLO983044:WLQ983048 WVK983044:WVM983048">
      <formula1>0</formula1>
      <formula2>900000</formula2>
    </dataValidation>
  </dataValidation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249977111117893"/>
  </sheetPr>
  <dimension ref="A1:I122"/>
  <sheetViews>
    <sheetView zoomScale="110" zoomScaleNormal="100" workbookViewId="0">
      <pane xSplit="1" ySplit="3" topLeftCell="B52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defaultRowHeight="12.75" x14ac:dyDescent="0.2"/>
  <cols>
    <col min="1" max="1" width="9.140625" style="135"/>
    <col min="2" max="2" width="36.7109375" style="135" customWidth="1"/>
    <col min="3" max="3" width="39.5703125" style="135" customWidth="1"/>
    <col min="4" max="4" width="30" style="135" customWidth="1"/>
    <col min="5" max="5" width="13.42578125" style="135" bestFit="1" customWidth="1"/>
    <col min="6" max="6" width="9.7109375" style="135" bestFit="1" customWidth="1"/>
    <col min="7" max="7" width="9.140625" style="135"/>
    <col min="8" max="8" width="13.42578125" style="135" bestFit="1" customWidth="1"/>
    <col min="9" max="16384" width="9.140625" style="135"/>
  </cols>
  <sheetData>
    <row r="1" spans="1:4" ht="18.75" x14ac:dyDescent="0.3">
      <c r="B1" s="341" t="s">
        <v>1268</v>
      </c>
      <c r="C1" s="341"/>
      <c r="D1" s="341"/>
    </row>
    <row r="2" spans="1:4" x14ac:dyDescent="0.2">
      <c r="C2" s="258"/>
      <c r="D2" s="257"/>
    </row>
    <row r="3" spans="1:4" ht="41.25" thickBot="1" x14ac:dyDescent="0.25">
      <c r="B3" s="256" t="s">
        <v>1267</v>
      </c>
      <c r="C3" s="255" t="s">
        <v>1266</v>
      </c>
      <c r="D3" s="254" t="s">
        <v>1265</v>
      </c>
    </row>
    <row r="4" spans="1:4" ht="20.100000000000001" customHeight="1" x14ac:dyDescent="0.2">
      <c r="A4" s="253" t="s">
        <v>209</v>
      </c>
      <c r="B4" s="252" t="s">
        <v>1261</v>
      </c>
      <c r="C4" s="176" t="s">
        <v>1264</v>
      </c>
      <c r="D4" s="251" t="str">
        <f>PROPER(B4)</f>
        <v>School Of Government</v>
      </c>
    </row>
    <row r="5" spans="1:4" ht="20.100000000000001" customHeight="1" x14ac:dyDescent="0.2">
      <c r="A5" s="249"/>
      <c r="B5" s="161"/>
      <c r="C5" s="167" t="s">
        <v>1263</v>
      </c>
      <c r="D5" s="248" t="str">
        <f>UPPER(B4)</f>
        <v>SCHOOL OF GOVERNMENT</v>
      </c>
    </row>
    <row r="6" spans="1:4" ht="20.100000000000001" customHeight="1" x14ac:dyDescent="0.2">
      <c r="A6" s="249"/>
      <c r="B6" s="161"/>
      <c r="C6" s="167" t="s">
        <v>1262</v>
      </c>
      <c r="D6" s="248" t="str">
        <f>LOWER(B4)</f>
        <v>school of government</v>
      </c>
    </row>
    <row r="7" spans="1:4" ht="20.100000000000001" customHeight="1" x14ac:dyDescent="0.2">
      <c r="A7" s="249"/>
      <c r="B7" s="161"/>
      <c r="C7" s="160"/>
      <c r="D7" s="248"/>
    </row>
    <row r="8" spans="1:4" ht="20.100000000000001" customHeight="1" x14ac:dyDescent="0.2">
      <c r="A8" s="249"/>
      <c r="B8" s="170" t="s">
        <v>1261</v>
      </c>
      <c r="C8" s="167" t="s">
        <v>1260</v>
      </c>
      <c r="D8" s="248" t="str">
        <f>RIGHT(B8,5)</f>
        <v>nment</v>
      </c>
    </row>
    <row r="9" spans="1:4" ht="20.100000000000001" customHeight="1" x14ac:dyDescent="0.2">
      <c r="A9" s="249"/>
      <c r="B9" s="161"/>
      <c r="C9" s="167" t="s">
        <v>1259</v>
      </c>
      <c r="D9" s="248" t="str">
        <f>LEFT(B8,5)</f>
        <v>sCHOO</v>
      </c>
    </row>
    <row r="10" spans="1:4" ht="20.100000000000001" customHeight="1" x14ac:dyDescent="0.2">
      <c r="A10" s="249"/>
      <c r="B10" s="161"/>
      <c r="C10" s="167" t="s">
        <v>1258</v>
      </c>
      <c r="D10" s="248" t="str">
        <f>MID(B8,10,5)</f>
        <v xml:space="preserve"> Gove</v>
      </c>
    </row>
    <row r="11" spans="1:4" ht="20.100000000000001" customHeight="1" x14ac:dyDescent="0.2">
      <c r="A11" s="249"/>
      <c r="B11" s="161"/>
      <c r="C11" s="160"/>
      <c r="D11" s="248"/>
    </row>
    <row r="12" spans="1:4" ht="20.100000000000001" customHeight="1" x14ac:dyDescent="0.2">
      <c r="A12" s="249"/>
      <c r="B12" s="170" t="s">
        <v>1257</v>
      </c>
      <c r="C12" s="167" t="s">
        <v>1256</v>
      </c>
      <c r="D12" s="248" t="str">
        <f>SUBSTITUTE(B12,"Institute","School")</f>
        <v>School of Government</v>
      </c>
    </row>
    <row r="13" spans="1:4" ht="20.100000000000001" customHeight="1" x14ac:dyDescent="0.2">
      <c r="A13" s="249"/>
      <c r="B13" s="161"/>
      <c r="C13" s="167" t="s">
        <v>1255</v>
      </c>
      <c r="D13" s="250">
        <f>FIND("Government",B12)</f>
        <v>14</v>
      </c>
    </row>
    <row r="14" spans="1:4" ht="20.100000000000001" customHeight="1" x14ac:dyDescent="0.2">
      <c r="A14" s="249"/>
      <c r="B14" s="161"/>
      <c r="C14" s="167" t="s">
        <v>1254</v>
      </c>
      <c r="D14" s="248" t="str">
        <f>REPLACE(B12,D13,10,"Higher Learning")</f>
        <v>Institute of Higher Learning</v>
      </c>
    </row>
    <row r="15" spans="1:4" ht="20.100000000000001" customHeight="1" x14ac:dyDescent="0.2">
      <c r="A15" s="249"/>
      <c r="B15" s="161"/>
      <c r="C15" s="160"/>
      <c r="D15" s="248"/>
    </row>
    <row r="16" spans="1:4" ht="20.100000000000001" customHeight="1" x14ac:dyDescent="0.2">
      <c r="A16" s="249"/>
      <c r="B16" s="170" t="s">
        <v>1253</v>
      </c>
      <c r="C16" s="167" t="s">
        <v>1252</v>
      </c>
      <c r="D16" s="248" t="str">
        <f>TRIM(B16)</f>
        <v>UNC School of Government</v>
      </c>
    </row>
    <row r="17" spans="1:8" ht="20.100000000000001" customHeight="1" thickBot="1" x14ac:dyDescent="0.25">
      <c r="A17" s="247"/>
      <c r="B17" s="214"/>
      <c r="C17" s="156"/>
      <c r="D17" s="246"/>
    </row>
    <row r="18" spans="1:8" x14ac:dyDescent="0.2">
      <c r="A18" s="245" t="s">
        <v>1251</v>
      </c>
      <c r="B18" s="244">
        <v>38904</v>
      </c>
      <c r="C18" s="176" t="s">
        <v>1250</v>
      </c>
      <c r="D18" s="175">
        <f>YEAR(B18)</f>
        <v>2006</v>
      </c>
    </row>
    <row r="19" spans="1:8" x14ac:dyDescent="0.2">
      <c r="A19" s="227"/>
      <c r="B19" s="161"/>
      <c r="C19" s="167" t="s">
        <v>1249</v>
      </c>
      <c r="D19" s="168">
        <f>MONTH(B18)</f>
        <v>7</v>
      </c>
    </row>
    <row r="20" spans="1:8" x14ac:dyDescent="0.2">
      <c r="A20" s="227"/>
      <c r="B20" s="161"/>
      <c r="C20" s="167" t="s">
        <v>1248</v>
      </c>
      <c r="D20" s="168">
        <f>DAY(B18)</f>
        <v>6</v>
      </c>
    </row>
    <row r="21" spans="1:8" x14ac:dyDescent="0.2">
      <c r="A21" s="227"/>
      <c r="B21" s="161"/>
      <c r="C21" s="167"/>
      <c r="D21" s="168"/>
    </row>
    <row r="22" spans="1:8" x14ac:dyDescent="0.2">
      <c r="A22" s="227"/>
      <c r="B22" s="161" t="s">
        <v>1247</v>
      </c>
      <c r="C22" s="167" t="s">
        <v>1246</v>
      </c>
      <c r="D22" s="243">
        <f ca="1">TODAY()</f>
        <v>43334</v>
      </c>
    </row>
    <row r="23" spans="1:8" x14ac:dyDescent="0.2">
      <c r="A23" s="227"/>
      <c r="B23" s="161"/>
      <c r="C23" s="167"/>
      <c r="D23" s="168"/>
    </row>
    <row r="24" spans="1:8" x14ac:dyDescent="0.2">
      <c r="A24" s="227"/>
      <c r="B24" s="161" t="s">
        <v>1245</v>
      </c>
      <c r="C24" s="167" t="s">
        <v>1244</v>
      </c>
      <c r="D24" s="242">
        <f>DATE(B25,B26,B27)</f>
        <v>34764</v>
      </c>
    </row>
    <row r="25" spans="1:8" x14ac:dyDescent="0.2">
      <c r="A25" s="227"/>
      <c r="B25" s="170">
        <v>1995</v>
      </c>
      <c r="C25" s="167"/>
      <c r="D25" s="168"/>
    </row>
    <row r="26" spans="1:8" x14ac:dyDescent="0.2">
      <c r="A26" s="227"/>
      <c r="B26" s="170">
        <v>3</v>
      </c>
      <c r="C26" s="167"/>
      <c r="D26" s="168"/>
    </row>
    <row r="27" spans="1:8" x14ac:dyDescent="0.2">
      <c r="A27" s="227"/>
      <c r="B27" s="170">
        <v>6</v>
      </c>
      <c r="C27" s="167"/>
      <c r="D27" s="168"/>
    </row>
    <row r="28" spans="1:8" x14ac:dyDescent="0.2">
      <c r="A28" s="227"/>
      <c r="B28" s="161"/>
      <c r="C28" s="167"/>
      <c r="D28" s="168"/>
    </row>
    <row r="29" spans="1:8" x14ac:dyDescent="0.2">
      <c r="A29" s="227"/>
      <c r="B29" s="161" t="s">
        <v>1243</v>
      </c>
      <c r="C29" s="167" t="s">
        <v>1242</v>
      </c>
      <c r="D29" s="168">
        <f>WEEKDAY(B18,1)</f>
        <v>5</v>
      </c>
    </row>
    <row r="30" spans="1:8" x14ac:dyDescent="0.2">
      <c r="A30" s="227"/>
      <c r="B30" s="161"/>
      <c r="C30" s="160"/>
      <c r="D30" s="159"/>
      <c r="E30" s="223"/>
    </row>
    <row r="31" spans="1:8" x14ac:dyDescent="0.2">
      <c r="A31" s="227"/>
      <c r="B31" s="239">
        <v>38904</v>
      </c>
      <c r="C31" s="167" t="s">
        <v>1241</v>
      </c>
      <c r="D31" s="241">
        <f>YEARFRAC(B31,B33,1)</f>
        <v>0.48767123287671232</v>
      </c>
      <c r="E31" s="223"/>
    </row>
    <row r="32" spans="1:8" x14ac:dyDescent="0.2">
      <c r="A32" s="227"/>
      <c r="B32" s="240" t="s">
        <v>1240</v>
      </c>
      <c r="C32" s="160"/>
      <c r="D32" s="159"/>
      <c r="E32" s="223"/>
      <c r="H32" s="223"/>
    </row>
    <row r="33" spans="1:8" x14ac:dyDescent="0.2">
      <c r="A33" s="227"/>
      <c r="B33" s="239">
        <v>39082</v>
      </c>
      <c r="C33" s="160"/>
      <c r="D33" s="159"/>
      <c r="E33" s="223"/>
      <c r="H33" s="223"/>
    </row>
    <row r="34" spans="1:8" ht="15" x14ac:dyDescent="0.3">
      <c r="A34" s="227"/>
      <c r="B34" s="238" t="s">
        <v>1239</v>
      </c>
      <c r="C34" s="160"/>
      <c r="D34" s="159"/>
      <c r="E34" s="223"/>
      <c r="H34" s="237"/>
    </row>
    <row r="35" spans="1:8" x14ac:dyDescent="0.2">
      <c r="A35" s="227"/>
      <c r="B35" s="236">
        <v>100</v>
      </c>
      <c r="C35" s="167" t="s">
        <v>1238</v>
      </c>
      <c r="D35" s="235">
        <f>WORKDAY(B36,B35,B38:C41)</f>
        <v>39049</v>
      </c>
      <c r="E35" s="223"/>
    </row>
    <row r="36" spans="1:8" ht="13.5" thickBot="1" x14ac:dyDescent="0.25">
      <c r="A36" s="234"/>
      <c r="B36" s="233">
        <v>38904</v>
      </c>
      <c r="C36" s="156"/>
      <c r="D36" s="155"/>
      <c r="E36" s="223"/>
    </row>
    <row r="37" spans="1:8" x14ac:dyDescent="0.2">
      <c r="A37" s="227"/>
      <c r="B37" s="232" t="s">
        <v>1237</v>
      </c>
      <c r="C37" s="231"/>
      <c r="D37" s="230"/>
      <c r="E37" s="223"/>
    </row>
    <row r="38" spans="1:8" x14ac:dyDescent="0.2">
      <c r="A38" s="227"/>
      <c r="B38" s="229">
        <v>38964</v>
      </c>
      <c r="C38" s="228">
        <v>39076</v>
      </c>
      <c r="D38" s="204"/>
      <c r="E38" s="223"/>
    </row>
    <row r="39" spans="1:8" x14ac:dyDescent="0.2">
      <c r="A39" s="227"/>
      <c r="B39" s="229">
        <v>39044</v>
      </c>
      <c r="C39" s="228">
        <v>39077</v>
      </c>
      <c r="D39" s="204"/>
      <c r="E39" s="223"/>
    </row>
    <row r="40" spans="1:8" x14ac:dyDescent="0.2">
      <c r="A40" s="227"/>
      <c r="B40" s="229">
        <v>39045</v>
      </c>
      <c r="C40" s="228">
        <v>39078</v>
      </c>
      <c r="D40" s="204"/>
      <c r="E40" s="223"/>
    </row>
    <row r="41" spans="1:8" ht="13.5" thickBot="1" x14ac:dyDescent="0.25">
      <c r="A41" s="227"/>
      <c r="B41" s="226"/>
      <c r="C41" s="225">
        <v>39083</v>
      </c>
      <c r="D41" s="224"/>
      <c r="E41" s="223"/>
    </row>
    <row r="42" spans="1:8" x14ac:dyDescent="0.2">
      <c r="A42" s="222" t="s">
        <v>1236</v>
      </c>
      <c r="B42" s="221" t="s">
        <v>1235</v>
      </c>
      <c r="C42" s="220" t="s">
        <v>1234</v>
      </c>
      <c r="D42" s="219" t="str">
        <f ca="1">IF(TODAY()&gt;B43,"Past Due","Still OK")</f>
        <v>Past Due</v>
      </c>
    </row>
    <row r="43" spans="1:8" x14ac:dyDescent="0.2">
      <c r="A43" s="215"/>
      <c r="B43" s="218">
        <v>38898</v>
      </c>
      <c r="C43" s="160"/>
      <c r="D43" s="159"/>
    </row>
    <row r="44" spans="1:8" x14ac:dyDescent="0.2">
      <c r="A44" s="215"/>
      <c r="B44" s="217"/>
      <c r="C44" s="160"/>
      <c r="D44" s="159"/>
    </row>
    <row r="45" spans="1:8" x14ac:dyDescent="0.2">
      <c r="A45" s="215"/>
      <c r="B45" s="161"/>
      <c r="C45" s="160"/>
      <c r="D45" s="159"/>
    </row>
    <row r="46" spans="1:8" x14ac:dyDescent="0.2">
      <c r="A46" s="215"/>
      <c r="B46" s="161" t="s">
        <v>1233</v>
      </c>
      <c r="C46" s="167" t="s">
        <v>1232</v>
      </c>
      <c r="D46" s="193">
        <f>IF(B49&gt;100%,100%,B49)</f>
        <v>0.88</v>
      </c>
    </row>
    <row r="47" spans="1:8" x14ac:dyDescent="0.2">
      <c r="A47" s="215"/>
      <c r="B47" s="161" t="s">
        <v>1231</v>
      </c>
      <c r="C47" s="160"/>
      <c r="D47" s="159"/>
    </row>
    <row r="48" spans="1:8" x14ac:dyDescent="0.2">
      <c r="A48" s="215"/>
      <c r="B48" s="161"/>
      <c r="C48" s="160"/>
      <c r="D48" s="159"/>
    </row>
    <row r="49" spans="1:4" x14ac:dyDescent="0.2">
      <c r="A49" s="215"/>
      <c r="B49" s="216">
        <v>0.88</v>
      </c>
      <c r="C49" s="160"/>
      <c r="D49" s="159"/>
    </row>
    <row r="50" spans="1:4" x14ac:dyDescent="0.2">
      <c r="A50" s="215"/>
      <c r="B50" s="161"/>
      <c r="C50" s="160"/>
      <c r="D50" s="159"/>
    </row>
    <row r="51" spans="1:4" x14ac:dyDescent="0.2">
      <c r="A51" s="215"/>
      <c r="B51" s="161" t="s">
        <v>1230</v>
      </c>
      <c r="C51" s="167" t="s">
        <v>1229</v>
      </c>
      <c r="D51" s="159" t="b">
        <f>AND(6&gt;4,4&gt;7)</f>
        <v>0</v>
      </c>
    </row>
    <row r="52" spans="1:4" ht="13.5" thickBot="1" x14ac:dyDescent="0.25">
      <c r="A52" s="215"/>
      <c r="B52" s="214" t="s">
        <v>1228</v>
      </c>
      <c r="C52" s="211" t="s">
        <v>1227</v>
      </c>
      <c r="D52" s="155" t="b">
        <f>OR(6&gt;4,4&gt;7)</f>
        <v>1</v>
      </c>
    </row>
    <row r="53" spans="1:4" ht="42.75" customHeight="1" thickBot="1" x14ac:dyDescent="0.25">
      <c r="A53" s="213"/>
      <c r="B53" s="212" t="s">
        <v>1226</v>
      </c>
      <c r="C53" s="211" t="s">
        <v>1225</v>
      </c>
      <c r="D53" s="210" t="str">
        <f ca="1">IF(AND(D42="Past Due",D46=100%),"Both True","There is a Problem")</f>
        <v>There is a Problem</v>
      </c>
    </row>
    <row r="54" spans="1:4" x14ac:dyDescent="0.2">
      <c r="A54" s="201"/>
      <c r="B54" s="209" t="s">
        <v>1224</v>
      </c>
      <c r="C54" s="209" t="s">
        <v>1223</v>
      </c>
      <c r="D54" s="204"/>
    </row>
    <row r="55" spans="1:4" ht="15" x14ac:dyDescent="0.3">
      <c r="A55" s="201"/>
      <c r="B55" s="208">
        <v>0</v>
      </c>
      <c r="C55" s="207">
        <v>0</v>
      </c>
      <c r="D55" s="204"/>
    </row>
    <row r="56" spans="1:4" ht="15" x14ac:dyDescent="0.3">
      <c r="A56" s="201"/>
      <c r="B56" s="208">
        <v>10000</v>
      </c>
      <c r="C56" s="207">
        <v>0.03</v>
      </c>
      <c r="D56" s="204"/>
    </row>
    <row r="57" spans="1:4" ht="15" x14ac:dyDescent="0.3">
      <c r="A57" s="201"/>
      <c r="B57" s="208">
        <v>30000</v>
      </c>
      <c r="C57" s="207">
        <v>0.05</v>
      </c>
      <c r="D57" s="204"/>
    </row>
    <row r="58" spans="1:4" ht="15" x14ac:dyDescent="0.3">
      <c r="A58" s="201"/>
      <c r="B58" s="208">
        <v>50000</v>
      </c>
      <c r="C58" s="207">
        <v>7.0000000000000007E-2</v>
      </c>
      <c r="D58" s="204"/>
    </row>
    <row r="59" spans="1:4" ht="15" x14ac:dyDescent="0.3">
      <c r="A59" s="201"/>
      <c r="B59" s="208">
        <v>300000000</v>
      </c>
      <c r="C59" s="207">
        <v>0.1</v>
      </c>
      <c r="D59" s="204"/>
    </row>
    <row r="60" spans="1:4" x14ac:dyDescent="0.2">
      <c r="A60" s="201"/>
      <c r="B60" s="206"/>
      <c r="C60" s="205"/>
      <c r="D60" s="204"/>
    </row>
    <row r="61" spans="1:4" x14ac:dyDescent="0.2">
      <c r="A61" s="201"/>
      <c r="B61" s="203" t="s">
        <v>1222</v>
      </c>
      <c r="C61" s="203" t="s">
        <v>1221</v>
      </c>
      <c r="D61" s="202" t="s">
        <v>1220</v>
      </c>
    </row>
    <row r="62" spans="1:4" x14ac:dyDescent="0.2">
      <c r="A62" s="201"/>
      <c r="B62" s="200" t="s">
        <v>1219</v>
      </c>
      <c r="C62" s="199">
        <v>609185</v>
      </c>
      <c r="D62" s="198" t="s">
        <v>1217</v>
      </c>
    </row>
    <row r="63" spans="1:4" x14ac:dyDescent="0.2">
      <c r="A63" s="201"/>
      <c r="B63" s="200" t="s">
        <v>1218</v>
      </c>
      <c r="C63" s="199">
        <v>325213</v>
      </c>
      <c r="D63" s="198" t="s">
        <v>1217</v>
      </c>
    </row>
    <row r="64" spans="1:4" x14ac:dyDescent="0.2">
      <c r="A64" s="201"/>
      <c r="B64" s="200" t="s">
        <v>1216</v>
      </c>
      <c r="C64" s="199">
        <v>233148</v>
      </c>
      <c r="D64" s="198" t="s">
        <v>1196</v>
      </c>
    </row>
    <row r="65" spans="1:9" x14ac:dyDescent="0.2">
      <c r="A65" s="201"/>
      <c r="B65" s="200" t="s">
        <v>1215</v>
      </c>
      <c r="C65" s="199">
        <v>204767</v>
      </c>
      <c r="D65" s="198" t="s">
        <v>1180</v>
      </c>
    </row>
    <row r="66" spans="1:9" ht="13.5" thickBot="1" x14ac:dyDescent="0.25">
      <c r="A66" s="201"/>
      <c r="B66" s="200" t="s">
        <v>1214</v>
      </c>
      <c r="C66" s="199">
        <v>195536</v>
      </c>
      <c r="D66" s="198" t="s">
        <v>1196</v>
      </c>
    </row>
    <row r="67" spans="1:9" x14ac:dyDescent="0.2">
      <c r="A67" s="197" t="s">
        <v>1213</v>
      </c>
      <c r="B67" s="177"/>
      <c r="C67" s="196"/>
      <c r="D67" s="195"/>
    </row>
    <row r="68" spans="1:9" x14ac:dyDescent="0.2">
      <c r="A68" s="189"/>
      <c r="B68" s="161" t="s">
        <v>1212</v>
      </c>
      <c r="C68" s="160"/>
      <c r="D68" s="159"/>
    </row>
    <row r="69" spans="1:9" x14ac:dyDescent="0.2">
      <c r="A69" s="189"/>
      <c r="B69" s="161"/>
      <c r="C69" s="160"/>
      <c r="D69" s="159"/>
    </row>
    <row r="70" spans="1:9" x14ac:dyDescent="0.2">
      <c r="A70" s="189"/>
      <c r="B70" s="161" t="s">
        <v>1211</v>
      </c>
      <c r="C70" s="160"/>
      <c r="D70" s="159"/>
    </row>
    <row r="71" spans="1:9" x14ac:dyDescent="0.2">
      <c r="A71" s="189"/>
      <c r="B71" s="194">
        <v>32000</v>
      </c>
      <c r="C71" s="167" t="s">
        <v>1210</v>
      </c>
      <c r="D71" s="193">
        <f>VLOOKUP(B71,$B$55:$C$59,2)</f>
        <v>0.05</v>
      </c>
    </row>
    <row r="72" spans="1:9" x14ac:dyDescent="0.2">
      <c r="A72" s="189"/>
      <c r="B72" s="161"/>
      <c r="C72" s="160"/>
      <c r="D72" s="159"/>
    </row>
    <row r="73" spans="1:9" x14ac:dyDescent="0.2">
      <c r="A73" s="189"/>
      <c r="B73" s="161"/>
      <c r="C73" s="160"/>
      <c r="D73" s="159"/>
    </row>
    <row r="74" spans="1:9" x14ac:dyDescent="0.2">
      <c r="A74" s="189"/>
      <c r="B74" s="161" t="s">
        <v>1209</v>
      </c>
      <c r="C74" s="167" t="s">
        <v>1208</v>
      </c>
      <c r="D74" s="184">
        <f>VLOOKUP(B75,$B$62:$C$66,2,FALSE)</f>
        <v>204767</v>
      </c>
    </row>
    <row r="75" spans="1:9" x14ac:dyDescent="0.2">
      <c r="A75" s="189"/>
      <c r="B75" s="174" t="s">
        <v>1207</v>
      </c>
      <c r="C75" s="160"/>
      <c r="D75" s="190"/>
      <c r="H75" s="192"/>
      <c r="I75" s="192"/>
    </row>
    <row r="76" spans="1:9" x14ac:dyDescent="0.2">
      <c r="A76" s="189"/>
      <c r="B76" s="161"/>
      <c r="C76" s="160"/>
      <c r="D76" s="190"/>
    </row>
    <row r="77" spans="1:9" x14ac:dyDescent="0.2">
      <c r="A77" s="189"/>
      <c r="B77" s="161" t="s">
        <v>1206</v>
      </c>
      <c r="C77" s="167" t="s">
        <v>1205</v>
      </c>
      <c r="D77" s="191">
        <f>MATCH(B78,$B$62:$B$66,0)</f>
        <v>2</v>
      </c>
    </row>
    <row r="78" spans="1:9" x14ac:dyDescent="0.2">
      <c r="A78" s="189"/>
      <c r="B78" s="174" t="s">
        <v>1204</v>
      </c>
      <c r="C78" s="160"/>
      <c r="D78" s="190"/>
    </row>
    <row r="79" spans="1:9" x14ac:dyDescent="0.2">
      <c r="A79" s="189"/>
      <c r="B79" s="161"/>
      <c r="C79" s="160"/>
      <c r="D79" s="190"/>
    </row>
    <row r="80" spans="1:9" x14ac:dyDescent="0.2">
      <c r="A80" s="189"/>
      <c r="B80" s="161"/>
      <c r="C80" s="160"/>
      <c r="D80" s="190"/>
    </row>
    <row r="81" spans="1:4" x14ac:dyDescent="0.2">
      <c r="A81" s="189"/>
      <c r="B81" s="161" t="s">
        <v>1203</v>
      </c>
      <c r="C81" s="167" t="s">
        <v>1202</v>
      </c>
      <c r="D81" s="184">
        <f>INDEX(B62:C66,B82,2)</f>
        <v>233148</v>
      </c>
    </row>
    <row r="82" spans="1:4" ht="13.5" thickBot="1" x14ac:dyDescent="0.25">
      <c r="A82" s="188"/>
      <c r="B82" s="187">
        <v>3</v>
      </c>
      <c r="C82" s="156"/>
      <c r="D82" s="155"/>
    </row>
    <row r="83" spans="1:4" x14ac:dyDescent="0.2">
      <c r="A83" s="186" t="s">
        <v>1201</v>
      </c>
      <c r="B83" s="177" t="s">
        <v>1199</v>
      </c>
      <c r="C83" s="176" t="s">
        <v>1200</v>
      </c>
      <c r="D83" s="185">
        <f>SUM(C62:C66)</f>
        <v>1567849</v>
      </c>
    </row>
    <row r="84" spans="1:4" x14ac:dyDescent="0.2">
      <c r="A84" s="182"/>
      <c r="B84" s="161"/>
      <c r="C84" s="160"/>
      <c r="D84" s="159"/>
    </row>
    <row r="85" spans="1:4" x14ac:dyDescent="0.2">
      <c r="A85" s="182"/>
      <c r="B85" s="161" t="s">
        <v>1199</v>
      </c>
      <c r="C85" s="167" t="s">
        <v>1198</v>
      </c>
      <c r="D85" s="184">
        <f>SUMIF(D62:D66,B87,C62:C66)</f>
        <v>428684</v>
      </c>
    </row>
    <row r="86" spans="1:4" x14ac:dyDescent="0.2">
      <c r="A86" s="182"/>
      <c r="B86" s="161" t="s">
        <v>1197</v>
      </c>
      <c r="C86" s="160"/>
      <c r="D86" s="159"/>
    </row>
    <row r="87" spans="1:4" x14ac:dyDescent="0.2">
      <c r="A87" s="182"/>
      <c r="B87" s="174" t="s">
        <v>1196</v>
      </c>
      <c r="C87" s="160"/>
      <c r="D87" s="159"/>
    </row>
    <row r="88" spans="1:4" x14ac:dyDescent="0.2">
      <c r="A88" s="182"/>
      <c r="B88" s="161"/>
      <c r="C88" s="160"/>
      <c r="D88" s="159"/>
    </row>
    <row r="89" spans="1:4" x14ac:dyDescent="0.2">
      <c r="A89" s="182"/>
      <c r="B89" s="161" t="s">
        <v>1195</v>
      </c>
      <c r="C89" s="167" t="s">
        <v>1194</v>
      </c>
      <c r="D89" s="168">
        <f>ROUND(B90,0)</f>
        <v>452</v>
      </c>
    </row>
    <row r="90" spans="1:4" x14ac:dyDescent="0.2">
      <c r="A90" s="182"/>
      <c r="B90" s="170">
        <v>452.16199999999998</v>
      </c>
      <c r="C90" s="167" t="s">
        <v>1193</v>
      </c>
      <c r="D90" s="168">
        <f>ROUNDUP(B90,0)</f>
        <v>453</v>
      </c>
    </row>
    <row r="91" spans="1:4" x14ac:dyDescent="0.2">
      <c r="A91" s="182"/>
      <c r="B91" s="161"/>
      <c r="C91" s="167" t="s">
        <v>1192</v>
      </c>
      <c r="D91" s="168">
        <f>ROUNDDOWN(B90,1)</f>
        <v>452.1</v>
      </c>
    </row>
    <row r="92" spans="1:4" x14ac:dyDescent="0.2">
      <c r="A92" s="182"/>
      <c r="B92" s="161"/>
      <c r="C92" s="160"/>
      <c r="D92" s="168"/>
    </row>
    <row r="93" spans="1:4" x14ac:dyDescent="0.2">
      <c r="A93" s="182"/>
      <c r="B93" s="161" t="s">
        <v>1191</v>
      </c>
      <c r="C93" s="183" t="s">
        <v>1190</v>
      </c>
      <c r="D93" s="168">
        <f ca="1">RAND()</f>
        <v>0.65685803753745597</v>
      </c>
    </row>
    <row r="94" spans="1:4" x14ac:dyDescent="0.2">
      <c r="A94" s="182"/>
      <c r="B94" s="161"/>
      <c r="C94" s="160"/>
      <c r="D94" s="168"/>
    </row>
    <row r="95" spans="1:4" x14ac:dyDescent="0.2">
      <c r="A95" s="182"/>
      <c r="B95" s="161" t="s">
        <v>1189</v>
      </c>
      <c r="C95" s="167" t="s">
        <v>1188</v>
      </c>
      <c r="D95" s="168">
        <f ca="1">RANDBETWEEN(B96,B97)</f>
        <v>50</v>
      </c>
    </row>
    <row r="96" spans="1:4" x14ac:dyDescent="0.2">
      <c r="A96" s="182"/>
      <c r="B96" s="170">
        <v>3</v>
      </c>
      <c r="C96" s="160"/>
      <c r="D96" s="168"/>
    </row>
    <row r="97" spans="1:4" ht="13.5" thickBot="1" x14ac:dyDescent="0.25">
      <c r="A97" s="181"/>
      <c r="B97" s="180">
        <v>62</v>
      </c>
      <c r="C97" s="156"/>
      <c r="D97" s="179"/>
    </row>
    <row r="98" spans="1:4" x14ac:dyDescent="0.2">
      <c r="A98" s="178" t="s">
        <v>1187</v>
      </c>
      <c r="B98" s="177" t="s">
        <v>1186</v>
      </c>
      <c r="C98" s="176" t="s">
        <v>1185</v>
      </c>
      <c r="D98" s="175">
        <f>COUNT(C62:C66)</f>
        <v>5</v>
      </c>
    </row>
    <row r="99" spans="1:4" x14ac:dyDescent="0.2">
      <c r="A99" s="162"/>
      <c r="B99" s="161" t="s">
        <v>1184</v>
      </c>
      <c r="C99" s="167" t="s">
        <v>1183</v>
      </c>
      <c r="D99" s="168">
        <f>COUNTA(B62:B66)</f>
        <v>5</v>
      </c>
    </row>
    <row r="100" spans="1:4" x14ac:dyDescent="0.2">
      <c r="A100" s="162"/>
      <c r="B100" s="161" t="s">
        <v>1182</v>
      </c>
      <c r="C100" s="167" t="s">
        <v>1181</v>
      </c>
      <c r="D100" s="168">
        <f>COUNTIF(D62:D66,B101)</f>
        <v>1</v>
      </c>
    </row>
    <row r="101" spans="1:4" x14ac:dyDescent="0.2">
      <c r="A101" s="162"/>
      <c r="B101" s="174" t="s">
        <v>1180</v>
      </c>
      <c r="C101" s="160"/>
      <c r="D101" s="159"/>
    </row>
    <row r="102" spans="1:4" x14ac:dyDescent="0.2">
      <c r="A102" s="162"/>
      <c r="B102" s="161"/>
      <c r="C102" s="160"/>
      <c r="D102" s="159"/>
    </row>
    <row r="103" spans="1:4" x14ac:dyDescent="0.2">
      <c r="A103" s="162"/>
      <c r="B103" s="161" t="s">
        <v>1179</v>
      </c>
      <c r="C103" s="167" t="s">
        <v>1178</v>
      </c>
      <c r="D103" s="173">
        <f>AVERAGE(C62:C66)</f>
        <v>313569.8</v>
      </c>
    </row>
    <row r="104" spans="1:4" x14ac:dyDescent="0.2">
      <c r="A104" s="162"/>
      <c r="B104" s="161" t="s">
        <v>1177</v>
      </c>
      <c r="C104" s="167" t="s">
        <v>1176</v>
      </c>
      <c r="D104" s="172">
        <f>MEDIAN(C62:C66)</f>
        <v>233148</v>
      </c>
    </row>
    <row r="105" spans="1:4" x14ac:dyDescent="0.2">
      <c r="A105" s="162"/>
      <c r="B105" s="161" t="s">
        <v>1175</v>
      </c>
      <c r="C105" s="167" t="s">
        <v>1174</v>
      </c>
      <c r="D105" s="172">
        <f>MAX(C62:C66)</f>
        <v>609185</v>
      </c>
    </row>
    <row r="106" spans="1:4" x14ac:dyDescent="0.2">
      <c r="A106" s="162"/>
      <c r="B106" s="161" t="s">
        <v>1173</v>
      </c>
      <c r="C106" s="167" t="s">
        <v>1172</v>
      </c>
      <c r="D106" s="172">
        <f>MIN(C62:C66)</f>
        <v>195536</v>
      </c>
    </row>
    <row r="107" spans="1:4" x14ac:dyDescent="0.2">
      <c r="A107" s="162"/>
      <c r="B107" s="161"/>
      <c r="C107" s="160"/>
      <c r="D107" s="172"/>
    </row>
    <row r="108" spans="1:4" x14ac:dyDescent="0.2">
      <c r="A108" s="162"/>
      <c r="B108" s="161" t="s">
        <v>1171</v>
      </c>
      <c r="C108" s="167" t="s">
        <v>1170</v>
      </c>
      <c r="D108" s="171">
        <f>LARGE(C62:C66,B109)</f>
        <v>233148</v>
      </c>
    </row>
    <row r="109" spans="1:4" x14ac:dyDescent="0.2">
      <c r="A109" s="162"/>
      <c r="B109" s="170">
        <v>3</v>
      </c>
      <c r="C109" s="160"/>
      <c r="D109" s="172"/>
    </row>
    <row r="110" spans="1:4" x14ac:dyDescent="0.2">
      <c r="A110" s="162"/>
      <c r="B110" s="161" t="s">
        <v>1169</v>
      </c>
      <c r="C110" s="167" t="s">
        <v>1168</v>
      </c>
      <c r="D110" s="171">
        <f>LARGE(C62:C66,B111)</f>
        <v>325213</v>
      </c>
    </row>
    <row r="111" spans="1:4" x14ac:dyDescent="0.2">
      <c r="A111" s="162"/>
      <c r="B111" s="170">
        <v>2</v>
      </c>
      <c r="C111" s="160"/>
      <c r="D111" s="169"/>
    </row>
    <row r="112" spans="1:4" x14ac:dyDescent="0.2">
      <c r="A112" s="162"/>
      <c r="B112" s="161"/>
      <c r="C112" s="160"/>
      <c r="D112" s="169"/>
    </row>
    <row r="113" spans="1:4" x14ac:dyDescent="0.2">
      <c r="A113" s="162"/>
      <c r="B113" s="161" t="s">
        <v>1167</v>
      </c>
      <c r="C113" s="160"/>
      <c r="D113" s="159"/>
    </row>
    <row r="114" spans="1:4" x14ac:dyDescent="0.2">
      <c r="A114" s="162"/>
      <c r="B114" s="161">
        <f>+C65</f>
        <v>204767</v>
      </c>
      <c r="C114" s="160"/>
      <c r="D114" s="159"/>
    </row>
    <row r="115" spans="1:4" x14ac:dyDescent="0.2">
      <c r="A115" s="162"/>
      <c r="B115" s="161" t="s">
        <v>1166</v>
      </c>
      <c r="C115" s="167" t="s">
        <v>1165</v>
      </c>
      <c r="D115" s="168">
        <f>RANK(B114,C62:C66,0)</f>
        <v>4</v>
      </c>
    </row>
    <row r="116" spans="1:4" x14ac:dyDescent="0.2">
      <c r="A116" s="162"/>
      <c r="B116" s="161"/>
      <c r="C116" s="160"/>
      <c r="D116" s="159"/>
    </row>
    <row r="117" spans="1:4" x14ac:dyDescent="0.2">
      <c r="A117" s="162"/>
      <c r="B117" s="161" t="s">
        <v>1164</v>
      </c>
      <c r="C117" s="167" t="s">
        <v>1163</v>
      </c>
      <c r="D117" s="166">
        <f>PERCENTILE(C62:C66,B118)</f>
        <v>277339.2</v>
      </c>
    </row>
    <row r="118" spans="1:4" x14ac:dyDescent="0.2">
      <c r="A118" s="162"/>
      <c r="B118" s="165">
        <v>0.62</v>
      </c>
      <c r="C118" s="160"/>
      <c r="D118" s="159"/>
    </row>
    <row r="119" spans="1:4" x14ac:dyDescent="0.2">
      <c r="A119" s="162"/>
      <c r="B119" s="161"/>
      <c r="C119" s="160"/>
      <c r="D119" s="159"/>
    </row>
    <row r="120" spans="1:4" x14ac:dyDescent="0.2">
      <c r="A120" s="162"/>
      <c r="B120" s="161" t="s">
        <v>1162</v>
      </c>
      <c r="C120" s="164" t="s">
        <v>1161</v>
      </c>
      <c r="D120" s="163">
        <f>PERCENTRANK(C62:C66,B122)</f>
        <v>0.81499999999999995</v>
      </c>
    </row>
    <row r="121" spans="1:4" x14ac:dyDescent="0.2">
      <c r="A121" s="162"/>
      <c r="B121" s="161" t="s">
        <v>1160</v>
      </c>
      <c r="C121" s="160"/>
      <c r="D121" s="159"/>
    </row>
    <row r="122" spans="1:4" ht="13.5" thickBot="1" x14ac:dyDescent="0.25">
      <c r="A122" s="158"/>
      <c r="B122" s="157">
        <v>400000</v>
      </c>
      <c r="C122" s="156"/>
      <c r="D122" s="155"/>
    </row>
  </sheetData>
  <mergeCells count="1">
    <mergeCell ref="B1:D1"/>
  </mergeCells>
  <printOptions verticalCentered="1"/>
  <pageMargins left="0.25" right="0.25" top="0.56999999999999995" bottom="0.56999999999999995" header="0.5" footer="0.5"/>
  <pageSetup scale="74" fitToHeight="2" orientation="portrait" r:id="rId1"/>
  <headerFooter alignWithMargins="0"/>
  <rowBreaks count="1" manualBreakCount="1">
    <brk id="53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</sheetPr>
  <dimension ref="A1:R62"/>
  <sheetViews>
    <sheetView showGridLines="0" workbookViewId="0"/>
  </sheetViews>
  <sheetFormatPr defaultRowHeight="15" x14ac:dyDescent="0.3"/>
  <cols>
    <col min="1" max="1" width="9.28515625" customWidth="1"/>
    <col min="2" max="2" width="15.28515625" bestFit="1" customWidth="1"/>
    <col min="12" max="12" width="26.85546875" bestFit="1" customWidth="1"/>
  </cols>
  <sheetData>
    <row r="1" spans="1:15" ht="21.75" x14ac:dyDescent="0.45">
      <c r="A1" s="78" t="s">
        <v>307</v>
      </c>
    </row>
    <row r="2" spans="1:15" x14ac:dyDescent="0.3">
      <c r="A2" s="5" t="s">
        <v>295</v>
      </c>
      <c r="B2" t="s">
        <v>308</v>
      </c>
    </row>
    <row r="3" spans="1:15" x14ac:dyDescent="0.3">
      <c r="A3" s="5" t="s">
        <v>296</v>
      </c>
      <c r="B3" t="s">
        <v>309</v>
      </c>
    </row>
    <row r="4" spans="1:15" x14ac:dyDescent="0.3">
      <c r="A4" s="74" t="s">
        <v>310</v>
      </c>
      <c r="B4" s="94" t="s">
        <v>1125</v>
      </c>
    </row>
    <row r="5" spans="1:15" x14ac:dyDescent="0.3">
      <c r="A5" s="74"/>
      <c r="B5" s="94"/>
    </row>
    <row r="6" spans="1:15" ht="27.75" x14ac:dyDescent="0.55000000000000004">
      <c r="B6" s="91" t="s">
        <v>1124</v>
      </c>
      <c r="O6" s="94"/>
    </row>
    <row r="7" spans="1:15" x14ac:dyDescent="0.3">
      <c r="B7" t="s">
        <v>1126</v>
      </c>
    </row>
    <row r="8" spans="1:15" x14ac:dyDescent="0.3">
      <c r="B8" t="s">
        <v>0</v>
      </c>
    </row>
    <row r="9" spans="1:15" x14ac:dyDescent="0.3">
      <c r="B9" t="s">
        <v>1</v>
      </c>
    </row>
    <row r="10" spans="1:15" x14ac:dyDescent="0.3">
      <c r="B10" t="s">
        <v>2</v>
      </c>
    </row>
    <row r="11" spans="1:15" x14ac:dyDescent="0.3">
      <c r="B11" t="s">
        <v>3</v>
      </c>
    </row>
    <row r="12" spans="1:15" x14ac:dyDescent="0.3">
      <c r="B12" t="s">
        <v>123</v>
      </c>
    </row>
    <row r="14" spans="1:15" x14ac:dyDescent="0.3">
      <c r="B14" t="s">
        <v>124</v>
      </c>
    </row>
    <row r="15" spans="1:15" x14ac:dyDescent="0.3">
      <c r="B15" t="s">
        <v>125</v>
      </c>
    </row>
    <row r="16" spans="1:15" x14ac:dyDescent="0.3">
      <c r="B16" t="s">
        <v>126</v>
      </c>
    </row>
    <row r="17" spans="2:18" x14ac:dyDescent="0.3">
      <c r="B17" s="93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2:18" ht="27.75" x14ac:dyDescent="0.55000000000000004">
      <c r="B18" s="91" t="s">
        <v>127</v>
      </c>
    </row>
    <row r="19" spans="2:18" x14ac:dyDescent="0.3">
      <c r="B19" t="s">
        <v>128</v>
      </c>
    </row>
    <row r="20" spans="2:18" x14ac:dyDescent="0.3">
      <c r="B20" t="s">
        <v>315</v>
      </c>
    </row>
    <row r="21" spans="2:18" x14ac:dyDescent="0.3">
      <c r="B21" t="s">
        <v>129</v>
      </c>
    </row>
    <row r="23" spans="2:18" x14ac:dyDescent="0.3">
      <c r="B23" t="s">
        <v>316</v>
      </c>
    </row>
    <row r="24" spans="2:18" x14ac:dyDescent="0.3">
      <c r="B24" t="s">
        <v>317</v>
      </c>
    </row>
    <row r="29" spans="2:18" x14ac:dyDescent="0.3">
      <c r="B29" s="94"/>
    </row>
    <row r="30" spans="2:18" ht="27.75" x14ac:dyDescent="0.55000000000000004">
      <c r="B30" s="91"/>
    </row>
    <row r="31" spans="2:18" x14ac:dyDescent="0.3">
      <c r="B31" t="s">
        <v>263</v>
      </c>
    </row>
    <row r="36" spans="2:18" x14ac:dyDescent="0.3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</row>
    <row r="37" spans="2:18" ht="27.75" x14ac:dyDescent="0.55000000000000004">
      <c r="B37" s="91" t="s">
        <v>130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  <row r="38" spans="2:18" x14ac:dyDescent="0.3">
      <c r="B38" t="s">
        <v>318</v>
      </c>
    </row>
    <row r="40" spans="2:18" x14ac:dyDescent="0.3">
      <c r="B40" t="s">
        <v>131</v>
      </c>
      <c r="L40" s="95">
        <v>38598</v>
      </c>
    </row>
    <row r="41" spans="2:18" x14ac:dyDescent="0.3">
      <c r="B41" t="s">
        <v>132</v>
      </c>
      <c r="L41" s="96">
        <v>38598</v>
      </c>
    </row>
    <row r="42" spans="2:18" x14ac:dyDescent="0.3">
      <c r="L42" s="97">
        <v>38598</v>
      </c>
    </row>
    <row r="43" spans="2:18" x14ac:dyDescent="0.3">
      <c r="B43" t="s">
        <v>133</v>
      </c>
      <c r="L43" s="98">
        <v>38598</v>
      </c>
    </row>
    <row r="44" spans="2:18" x14ac:dyDescent="0.3">
      <c r="B44" t="s">
        <v>134</v>
      </c>
      <c r="L44" s="99">
        <v>38598</v>
      </c>
    </row>
    <row r="45" spans="2:18" x14ac:dyDescent="0.3">
      <c r="L45" s="100">
        <v>38598</v>
      </c>
    </row>
    <row r="46" spans="2:18" x14ac:dyDescent="0.3">
      <c r="B46" t="s">
        <v>135</v>
      </c>
      <c r="L46" s="101">
        <v>38598</v>
      </c>
    </row>
    <row r="47" spans="2:18" x14ac:dyDescent="0.3">
      <c r="B47" t="s">
        <v>293</v>
      </c>
      <c r="L47" s="102">
        <v>38598</v>
      </c>
    </row>
    <row r="48" spans="2:18" x14ac:dyDescent="0.3">
      <c r="B48" t="s">
        <v>136</v>
      </c>
      <c r="L48" s="103">
        <v>38598</v>
      </c>
    </row>
    <row r="49" spans="2:12" x14ac:dyDescent="0.3">
      <c r="L49" s="104">
        <v>38598</v>
      </c>
    </row>
    <row r="50" spans="2:12" x14ac:dyDescent="0.3">
      <c r="B50" t="s">
        <v>294</v>
      </c>
    </row>
    <row r="51" spans="2:12" x14ac:dyDescent="0.3">
      <c r="B51" t="s">
        <v>319</v>
      </c>
    </row>
    <row r="60" spans="2:12" x14ac:dyDescent="0.3">
      <c r="B60" s="105"/>
    </row>
    <row r="61" spans="2:12" x14ac:dyDescent="0.3">
      <c r="B61" s="106"/>
    </row>
    <row r="62" spans="2:12" x14ac:dyDescent="0.3">
      <c r="B62" s="106"/>
    </row>
  </sheetData>
  <phoneticPr fontId="5" type="noConversion"/>
  <hyperlinks>
    <hyperlink ref="B4" r:id="rId1"/>
  </hyperlinks>
  <pageMargins left="0.75" right="0.75" top="1" bottom="1" header="0.5" footer="0.5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79998168889431442"/>
  </sheetPr>
  <dimension ref="A1:D28"/>
  <sheetViews>
    <sheetView showGridLines="0" workbookViewId="0"/>
  </sheetViews>
  <sheetFormatPr defaultRowHeight="15" x14ac:dyDescent="0.3"/>
  <cols>
    <col min="1" max="1" width="9" customWidth="1"/>
  </cols>
  <sheetData>
    <row r="1" spans="1:4" ht="21.75" x14ac:dyDescent="0.45">
      <c r="A1" s="78" t="s">
        <v>137</v>
      </c>
    </row>
    <row r="2" spans="1:4" x14ac:dyDescent="0.3">
      <c r="A2" s="5" t="s">
        <v>295</v>
      </c>
      <c r="B2" t="s">
        <v>311</v>
      </c>
    </row>
    <row r="3" spans="1:4" x14ac:dyDescent="0.3">
      <c r="A3" s="5" t="s">
        <v>296</v>
      </c>
      <c r="B3" t="s">
        <v>312</v>
      </c>
    </row>
    <row r="4" spans="1:4" x14ac:dyDescent="0.3">
      <c r="A4" s="74"/>
      <c r="B4" s="94"/>
    </row>
    <row r="5" spans="1:4" ht="27.75" x14ac:dyDescent="0.55000000000000004">
      <c r="B5" s="91"/>
    </row>
    <row r="6" spans="1:4" x14ac:dyDescent="0.3">
      <c r="B6" t="s">
        <v>138</v>
      </c>
      <c r="D6" t="s">
        <v>139</v>
      </c>
    </row>
    <row r="8" spans="1:4" x14ac:dyDescent="0.3">
      <c r="B8" s="107" t="s">
        <v>140</v>
      </c>
    </row>
    <row r="10" spans="1:4" x14ac:dyDescent="0.3">
      <c r="C10" t="s">
        <v>141</v>
      </c>
    </row>
    <row r="12" spans="1:4" x14ac:dyDescent="0.3">
      <c r="C12" t="s">
        <v>142</v>
      </c>
    </row>
    <row r="13" spans="1:4" x14ac:dyDescent="0.3">
      <c r="C13" t="s">
        <v>143</v>
      </c>
    </row>
    <row r="14" spans="1:4" x14ac:dyDescent="0.3">
      <c r="C14" t="s">
        <v>144</v>
      </c>
    </row>
    <row r="15" spans="1:4" x14ac:dyDescent="0.3">
      <c r="C15" t="s">
        <v>313</v>
      </c>
    </row>
    <row r="18" spans="2:3" x14ac:dyDescent="0.3">
      <c r="B18" s="90" t="s">
        <v>145</v>
      </c>
    </row>
    <row r="24" spans="2:3" x14ac:dyDescent="0.3">
      <c r="B24" t="s">
        <v>298</v>
      </c>
      <c r="C24" t="s">
        <v>299</v>
      </c>
    </row>
    <row r="25" spans="2:3" x14ac:dyDescent="0.3">
      <c r="B25" t="s">
        <v>300</v>
      </c>
      <c r="C25" t="s">
        <v>247</v>
      </c>
    </row>
    <row r="26" spans="2:3" x14ac:dyDescent="0.3">
      <c r="B26" s="15" t="s">
        <v>218</v>
      </c>
      <c r="C26" t="s">
        <v>248</v>
      </c>
    </row>
    <row r="27" spans="2:3" x14ac:dyDescent="0.3">
      <c r="B27" t="s">
        <v>249</v>
      </c>
      <c r="C27" t="s">
        <v>250</v>
      </c>
    </row>
    <row r="28" spans="2:3" x14ac:dyDescent="0.3">
      <c r="B28" t="s">
        <v>301</v>
      </c>
      <c r="C28" t="s">
        <v>75</v>
      </c>
    </row>
  </sheetData>
  <phoneticPr fontId="5" type="noConversion"/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0.79998168889431442"/>
  </sheetPr>
  <dimension ref="A1:O42"/>
  <sheetViews>
    <sheetView showGridLines="0" workbookViewId="0"/>
  </sheetViews>
  <sheetFormatPr defaultRowHeight="15" x14ac:dyDescent="0.3"/>
  <cols>
    <col min="1" max="1" width="1.7109375" customWidth="1"/>
    <col min="2" max="2" width="11.42578125" customWidth="1"/>
    <col min="3" max="3" width="10.7109375" customWidth="1"/>
    <col min="4" max="4" width="12.7109375" customWidth="1"/>
    <col min="5" max="5" width="17.28515625" customWidth="1"/>
    <col min="6" max="12" width="12.7109375" customWidth="1"/>
  </cols>
  <sheetData>
    <row r="1" spans="1:3" ht="9" customHeight="1" x14ac:dyDescent="0.3">
      <c r="A1" s="5"/>
      <c r="B1" s="5"/>
    </row>
    <row r="2" spans="1:3" ht="27.75" x14ac:dyDescent="0.55000000000000004">
      <c r="B2" s="91" t="s">
        <v>229</v>
      </c>
    </row>
    <row r="5" spans="1:3" x14ac:dyDescent="0.3">
      <c r="B5" t="s">
        <v>251</v>
      </c>
    </row>
    <row r="6" spans="1:3" x14ac:dyDescent="0.3">
      <c r="B6" t="s">
        <v>220</v>
      </c>
    </row>
    <row r="8" spans="1:3" x14ac:dyDescent="0.3">
      <c r="B8" s="125" t="e">
        <v>#NULL!</v>
      </c>
      <c r="C8" s="126" t="s">
        <v>222</v>
      </c>
    </row>
    <row r="9" spans="1:3" x14ac:dyDescent="0.3">
      <c r="B9" s="125" t="e">
        <v>#DIV/0!</v>
      </c>
      <c r="C9" s="126" t="s">
        <v>223</v>
      </c>
    </row>
    <row r="10" spans="1:3" x14ac:dyDescent="0.3">
      <c r="B10" s="125" t="e">
        <v>#VALUE!</v>
      </c>
      <c r="C10" s="126" t="s">
        <v>224</v>
      </c>
    </row>
    <row r="11" spans="1:3" x14ac:dyDescent="0.3">
      <c r="B11" s="125" t="e">
        <v>#REF!</v>
      </c>
      <c r="C11" t="s">
        <v>225</v>
      </c>
    </row>
    <row r="12" spans="1:3" x14ac:dyDescent="0.3">
      <c r="B12" s="125" t="e">
        <v>#NAME?</v>
      </c>
      <c r="C12" s="126" t="s">
        <v>221</v>
      </c>
    </row>
    <row r="13" spans="1:3" x14ac:dyDescent="0.3">
      <c r="B13" s="125" t="e">
        <v>#NUM!</v>
      </c>
      <c r="C13" s="126" t="s">
        <v>226</v>
      </c>
    </row>
    <row r="14" spans="1:3" x14ac:dyDescent="0.3">
      <c r="B14" s="125" t="e">
        <v>#N/A</v>
      </c>
      <c r="C14" s="126" t="s">
        <v>227</v>
      </c>
    </row>
    <row r="16" spans="1:3" x14ac:dyDescent="0.3">
      <c r="B16" t="s">
        <v>230</v>
      </c>
    </row>
    <row r="17" spans="2:15" x14ac:dyDescent="0.3">
      <c r="B17" t="s">
        <v>231</v>
      </c>
    </row>
    <row r="19" spans="2:15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2:15" ht="27.75" x14ac:dyDescent="0.55000000000000004">
      <c r="B20" s="91" t="s">
        <v>228</v>
      </c>
    </row>
    <row r="23" spans="2:15" x14ac:dyDescent="0.3">
      <c r="B23" t="s">
        <v>232</v>
      </c>
      <c r="H23" t="s">
        <v>233</v>
      </c>
      <c r="J23" t="s">
        <v>234</v>
      </c>
    </row>
    <row r="24" spans="2:15" x14ac:dyDescent="0.3">
      <c r="C24" s="112">
        <v>1</v>
      </c>
      <c r="D24" s="113">
        <v>25</v>
      </c>
      <c r="F24" s="112">
        <v>1</v>
      </c>
      <c r="G24" s="114">
        <v>25</v>
      </c>
      <c r="H24" s="113">
        <f>IF(ISERROR(G24),"",G24)</f>
        <v>25</v>
      </c>
      <c r="J24" s="15" t="s">
        <v>235</v>
      </c>
    </row>
    <row r="25" spans="2:15" x14ac:dyDescent="0.3">
      <c r="C25" s="115">
        <v>2</v>
      </c>
      <c r="D25" s="116">
        <v>30</v>
      </c>
      <c r="F25" s="115">
        <v>2</v>
      </c>
      <c r="G25" s="90">
        <v>30</v>
      </c>
      <c r="H25" s="116">
        <f>IF(ISERROR(G25),"",G25)</f>
        <v>30</v>
      </c>
      <c r="I25" s="15"/>
    </row>
    <row r="26" spans="2:15" x14ac:dyDescent="0.3">
      <c r="C26" s="115">
        <v>3</v>
      </c>
      <c r="D26" s="116" t="e">
        <f>NA()</f>
        <v>#N/A</v>
      </c>
      <c r="F26" s="115">
        <v>3</v>
      </c>
      <c r="G26" s="90" t="e">
        <f>NA()</f>
        <v>#N/A</v>
      </c>
      <c r="H26" s="116" t="str">
        <f>IF(ISERROR(G26),"",G26)</f>
        <v/>
      </c>
    </row>
    <row r="27" spans="2:15" x14ac:dyDescent="0.3">
      <c r="C27" s="117">
        <v>4</v>
      </c>
      <c r="D27" s="118">
        <v>15</v>
      </c>
      <c r="F27" s="117">
        <v>4</v>
      </c>
      <c r="G27" s="92">
        <v>15</v>
      </c>
      <c r="H27" s="118">
        <f>IF(ISERROR(G27),"",G27)</f>
        <v>15</v>
      </c>
    </row>
    <row r="28" spans="2:15" s="90" customFormat="1" x14ac:dyDescent="0.3">
      <c r="C28" s="85" t="s">
        <v>236</v>
      </c>
      <c r="D28" s="85" t="e">
        <f>SUM(D24:D27)</f>
        <v>#N/A</v>
      </c>
      <c r="F28" s="85" t="s">
        <v>236</v>
      </c>
      <c r="G28" s="85" t="e">
        <f>SUM(G24:G27)</f>
        <v>#N/A</v>
      </c>
      <c r="H28" s="85">
        <f>SUM(H24:H27)</f>
        <v>70</v>
      </c>
    </row>
    <row r="29" spans="2:15" x14ac:dyDescent="0.3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5" x14ac:dyDescent="0.3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5" x14ac:dyDescent="0.3">
      <c r="B31" s="90"/>
      <c r="C31" s="90"/>
      <c r="D31" s="85" t="s">
        <v>237</v>
      </c>
      <c r="E31" s="90"/>
      <c r="F31" s="90"/>
      <c r="G31" s="90"/>
      <c r="H31" s="85" t="s">
        <v>238</v>
      </c>
      <c r="I31" s="90"/>
      <c r="J31" s="90"/>
      <c r="K31" s="90"/>
      <c r="L31" s="90"/>
      <c r="M31" s="90"/>
      <c r="N31" s="90"/>
      <c r="O31" s="90"/>
    </row>
    <row r="32" spans="2:15" x14ac:dyDescent="0.3">
      <c r="B32" s="90"/>
      <c r="C32" s="90"/>
      <c r="D32" s="85"/>
      <c r="E32" s="90"/>
      <c r="F32" s="90"/>
      <c r="G32" s="90"/>
      <c r="H32" s="85"/>
      <c r="I32" s="90"/>
      <c r="J32" s="90"/>
      <c r="K32" s="90"/>
      <c r="L32" s="90"/>
      <c r="M32" s="90"/>
      <c r="N32" s="90"/>
      <c r="O32" s="90"/>
    </row>
    <row r="33" spans="2:15" x14ac:dyDescent="0.3">
      <c r="B33" s="90"/>
      <c r="C33" s="90"/>
      <c r="D33" s="85"/>
      <c r="E33" s="90"/>
      <c r="F33" s="90"/>
      <c r="G33" s="90"/>
      <c r="H33" s="85"/>
      <c r="I33" s="90"/>
      <c r="J33" s="90"/>
      <c r="K33" s="90"/>
      <c r="L33" s="90"/>
      <c r="M33" s="90"/>
      <c r="N33" s="90"/>
      <c r="O33" s="90"/>
    </row>
    <row r="34" spans="2:15" x14ac:dyDescent="0.3">
      <c r="B34" s="90"/>
      <c r="C34" s="90"/>
      <c r="D34" s="85"/>
      <c r="E34" s="90"/>
      <c r="F34" s="90"/>
      <c r="G34" s="90"/>
      <c r="H34" s="85"/>
      <c r="I34" s="90"/>
      <c r="J34" s="90"/>
      <c r="K34" s="90"/>
      <c r="L34" s="90"/>
      <c r="M34" s="90"/>
      <c r="N34" s="90"/>
      <c r="O34" s="90"/>
    </row>
    <row r="35" spans="2:15" x14ac:dyDescent="0.3">
      <c r="B35" s="90"/>
      <c r="C35" s="90"/>
      <c r="D35" s="85"/>
      <c r="E35" s="90"/>
      <c r="F35" s="90"/>
      <c r="G35" s="90"/>
      <c r="H35" s="85"/>
      <c r="I35" s="90"/>
      <c r="J35" s="90"/>
      <c r="K35" s="90"/>
      <c r="L35" s="90"/>
      <c r="M35" s="90"/>
      <c r="N35" s="90"/>
      <c r="O35" s="90"/>
    </row>
    <row r="36" spans="2:15" x14ac:dyDescent="0.3">
      <c r="B36" s="90"/>
      <c r="C36" s="90"/>
      <c r="D36" s="85"/>
      <c r="E36" s="90"/>
      <c r="F36" s="90"/>
      <c r="G36" s="90"/>
      <c r="H36" s="85"/>
      <c r="I36" s="90"/>
      <c r="J36" s="90"/>
      <c r="K36" s="90"/>
      <c r="L36" s="90"/>
      <c r="M36" s="90"/>
      <c r="N36" s="90"/>
      <c r="O36" s="90"/>
    </row>
    <row r="37" spans="2:15" x14ac:dyDescent="0.3">
      <c r="B37" s="90"/>
      <c r="C37" s="90"/>
      <c r="D37" s="85"/>
      <c r="E37" s="90"/>
      <c r="F37" s="90"/>
      <c r="G37" s="90"/>
      <c r="H37" s="85"/>
      <c r="I37" s="90"/>
      <c r="J37" s="90"/>
      <c r="K37" s="90"/>
      <c r="L37" s="90"/>
      <c r="M37" s="90"/>
      <c r="N37" s="90"/>
      <c r="O37" s="90"/>
    </row>
    <row r="38" spans="2:15" x14ac:dyDescent="0.3">
      <c r="B38" s="90"/>
      <c r="C38" s="90"/>
      <c r="D38" s="85"/>
      <c r="E38" s="90"/>
      <c r="F38" s="90"/>
      <c r="G38" s="90"/>
      <c r="H38" s="85"/>
      <c r="I38" s="90"/>
      <c r="J38" s="90"/>
      <c r="K38" s="90"/>
      <c r="L38" s="90"/>
      <c r="M38" s="90"/>
      <c r="N38" s="90"/>
      <c r="O38" s="90"/>
    </row>
    <row r="39" spans="2:15" x14ac:dyDescent="0.3">
      <c r="B39" s="90"/>
      <c r="C39" s="90"/>
      <c r="D39" s="85"/>
      <c r="E39" s="90"/>
      <c r="F39" s="90"/>
      <c r="G39" s="90"/>
      <c r="H39" s="85"/>
      <c r="I39" s="90"/>
      <c r="J39" s="90"/>
      <c r="K39" s="90"/>
      <c r="L39" s="90"/>
      <c r="M39" s="90"/>
      <c r="N39" s="90"/>
      <c r="O39" s="90"/>
    </row>
    <row r="40" spans="2:15" x14ac:dyDescent="0.3">
      <c r="B40" s="90"/>
      <c r="C40" s="90"/>
      <c r="D40" s="85"/>
      <c r="E40" s="90"/>
      <c r="F40" s="90"/>
      <c r="G40" s="90"/>
      <c r="H40" s="85"/>
      <c r="I40" s="90"/>
      <c r="J40" s="90"/>
      <c r="K40" s="90"/>
      <c r="L40" s="90"/>
      <c r="M40" s="90"/>
      <c r="N40" s="90"/>
      <c r="O40" s="90"/>
    </row>
    <row r="41" spans="2:15" x14ac:dyDescent="0.3">
      <c r="B41" s="90"/>
      <c r="C41" s="90"/>
      <c r="D41" s="85"/>
      <c r="E41" s="90"/>
      <c r="F41" s="90"/>
      <c r="G41" s="90"/>
      <c r="H41" s="85"/>
      <c r="I41" s="90"/>
      <c r="J41" s="90"/>
      <c r="K41" s="90"/>
      <c r="L41" s="90"/>
      <c r="M41" s="90"/>
      <c r="N41" s="90"/>
      <c r="O41" s="90"/>
    </row>
    <row r="42" spans="2:15" x14ac:dyDescent="0.3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</sheetData>
  <phoneticPr fontId="5" type="noConversion"/>
  <hyperlinks>
    <hyperlink ref="C11" r:id="rId1" display="javascript:AppendPopup(this,'xldefCellReference_1')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0.79998168889431442"/>
  </sheetPr>
  <dimension ref="A1:E40"/>
  <sheetViews>
    <sheetView showGridLines="0" workbookViewId="0"/>
  </sheetViews>
  <sheetFormatPr defaultRowHeight="19.5" x14ac:dyDescent="0.3"/>
  <cols>
    <col min="1" max="1" width="3.85546875" style="23" customWidth="1"/>
    <col min="2" max="2" width="22.140625" style="25" customWidth="1"/>
    <col min="3" max="3" width="31" style="25" customWidth="1"/>
    <col min="4" max="4" width="30.42578125" style="23" bestFit="1" customWidth="1"/>
    <col min="5" max="5" width="30.42578125" style="24" bestFit="1" customWidth="1"/>
    <col min="6" max="6" width="30.42578125" style="23" bestFit="1" customWidth="1"/>
    <col min="7" max="16384" width="9.140625" style="23"/>
  </cols>
  <sheetData>
    <row r="1" spans="1:5" ht="21.75" x14ac:dyDescent="0.45">
      <c r="A1" s="78" t="s">
        <v>981</v>
      </c>
    </row>
    <row r="2" spans="1:5" x14ac:dyDescent="0.3">
      <c r="A2" s="5" t="s">
        <v>990</v>
      </c>
    </row>
    <row r="3" spans="1:5" x14ac:dyDescent="0.3">
      <c r="A3" s="5" t="s">
        <v>991</v>
      </c>
    </row>
    <row r="4" spans="1:5" x14ac:dyDescent="0.3">
      <c r="E4" s="23"/>
    </row>
    <row r="5" spans="1:5" x14ac:dyDescent="0.3">
      <c r="A5" s="26" t="s">
        <v>841</v>
      </c>
      <c r="E5" s="23"/>
    </row>
    <row r="6" spans="1:5" x14ac:dyDescent="0.3">
      <c r="B6" s="342" t="s">
        <v>837</v>
      </c>
      <c r="C6" s="342"/>
      <c r="D6" s="342"/>
      <c r="E6" s="23"/>
    </row>
    <row r="7" spans="1:5" ht="12" customHeight="1" x14ac:dyDescent="0.3">
      <c r="B7" s="28"/>
      <c r="C7" s="28"/>
      <c r="D7" s="28"/>
      <c r="E7" s="23"/>
    </row>
    <row r="8" spans="1:5" s="30" customFormat="1" ht="15" x14ac:dyDescent="0.3">
      <c r="A8" s="29"/>
      <c r="B8" s="34" t="s">
        <v>850</v>
      </c>
      <c r="C8" s="34" t="s">
        <v>851</v>
      </c>
      <c r="D8" s="34" t="s">
        <v>852</v>
      </c>
    </row>
    <row r="9" spans="1:5" x14ac:dyDescent="0.3">
      <c r="B9" s="31" t="s">
        <v>393</v>
      </c>
      <c r="C9" s="32" t="s">
        <v>76</v>
      </c>
      <c r="D9" s="33" t="str">
        <f>RIGHT(B9,4)</f>
        <v>nton</v>
      </c>
      <c r="E9" s="27"/>
    </row>
    <row r="10" spans="1:5" x14ac:dyDescent="0.3">
      <c r="B10" s="31" t="s">
        <v>393</v>
      </c>
      <c r="C10" s="32" t="s">
        <v>77</v>
      </c>
      <c r="D10" s="33" t="str">
        <f>RIGHT(B10,1)</f>
        <v>n</v>
      </c>
      <c r="E10" s="27"/>
    </row>
    <row r="12" spans="1:5" x14ac:dyDescent="0.3">
      <c r="A12" s="26" t="s">
        <v>842</v>
      </c>
      <c r="E12" s="23"/>
    </row>
    <row r="13" spans="1:5" x14ac:dyDescent="0.3">
      <c r="B13" s="342" t="s">
        <v>844</v>
      </c>
      <c r="C13" s="342"/>
      <c r="D13" s="342"/>
      <c r="E13" s="23"/>
    </row>
    <row r="14" spans="1:5" ht="12" customHeight="1" x14ac:dyDescent="0.3">
      <c r="B14" s="28"/>
      <c r="C14" s="28"/>
      <c r="D14" s="28"/>
      <c r="E14" s="23"/>
    </row>
    <row r="15" spans="1:5" s="30" customFormat="1" ht="15" x14ac:dyDescent="0.3">
      <c r="A15" s="29"/>
      <c r="B15" s="34" t="s">
        <v>850</v>
      </c>
      <c r="C15" s="34" t="s">
        <v>851</v>
      </c>
      <c r="D15" s="34" t="s">
        <v>852</v>
      </c>
    </row>
    <row r="16" spans="1:5" x14ac:dyDescent="0.3">
      <c r="B16" s="31" t="s">
        <v>393</v>
      </c>
      <c r="C16" s="32" t="s">
        <v>78</v>
      </c>
      <c r="D16" s="33" t="str">
        <f>LEFT(B16,4)</f>
        <v>Bill</v>
      </c>
      <c r="E16" s="27"/>
    </row>
    <row r="17" spans="1:5" x14ac:dyDescent="0.3">
      <c r="B17" s="31" t="s">
        <v>393</v>
      </c>
      <c r="C17" s="32" t="s">
        <v>79</v>
      </c>
      <c r="D17" s="33" t="str">
        <f>LEFT(B17,1)</f>
        <v>B</v>
      </c>
      <c r="E17" s="27"/>
    </row>
    <row r="19" spans="1:5" x14ac:dyDescent="0.3">
      <c r="A19" s="26" t="s">
        <v>843</v>
      </c>
      <c r="E19" s="23"/>
    </row>
    <row r="20" spans="1:5" x14ac:dyDescent="0.3">
      <c r="A20" s="23" t="s">
        <v>838</v>
      </c>
      <c r="B20" s="342" t="s">
        <v>845</v>
      </c>
      <c r="C20" s="342"/>
      <c r="D20" s="342"/>
      <c r="E20" s="23"/>
    </row>
    <row r="21" spans="1:5" x14ac:dyDescent="0.3">
      <c r="B21" s="342" t="s">
        <v>849</v>
      </c>
      <c r="C21" s="342"/>
      <c r="D21" s="342"/>
    </row>
    <row r="22" spans="1:5" ht="12" customHeight="1" x14ac:dyDescent="0.3">
      <c r="B22" s="28"/>
      <c r="C22" s="28"/>
      <c r="D22" s="28"/>
      <c r="E22" s="23"/>
    </row>
    <row r="23" spans="1:5" s="30" customFormat="1" ht="15" x14ac:dyDescent="0.3">
      <c r="A23" s="29"/>
      <c r="B23" s="34" t="s">
        <v>850</v>
      </c>
      <c r="C23" s="34" t="s">
        <v>851</v>
      </c>
      <c r="D23" s="34" t="s">
        <v>852</v>
      </c>
    </row>
    <row r="24" spans="1:5" x14ac:dyDescent="0.3">
      <c r="B24" s="31" t="s">
        <v>393</v>
      </c>
      <c r="C24" s="32" t="s">
        <v>80</v>
      </c>
      <c r="D24" s="33" t="str">
        <f>MID(B24,4,4)</f>
        <v>l Cl</v>
      </c>
    </row>
    <row r="25" spans="1:5" x14ac:dyDescent="0.3">
      <c r="B25" s="31" t="s">
        <v>393</v>
      </c>
      <c r="C25" s="32" t="s">
        <v>81</v>
      </c>
      <c r="D25" s="33" t="str">
        <f>MID(B25,FIND(" ",B25),999)</f>
        <v xml:space="preserve"> Clinton</v>
      </c>
      <c r="E25" s="133" t="s">
        <v>88</v>
      </c>
    </row>
    <row r="27" spans="1:5" x14ac:dyDescent="0.3">
      <c r="A27" s="26" t="s">
        <v>839</v>
      </c>
      <c r="E27" s="23"/>
    </row>
    <row r="28" spans="1:5" x14ac:dyDescent="0.3">
      <c r="B28" s="342" t="s">
        <v>840</v>
      </c>
      <c r="C28" s="342"/>
      <c r="D28" s="342"/>
    </row>
    <row r="29" spans="1:5" ht="12" customHeight="1" x14ac:dyDescent="0.3">
      <c r="B29" s="28"/>
      <c r="C29" s="28"/>
      <c r="D29" s="28"/>
      <c r="E29" s="23"/>
    </row>
    <row r="30" spans="1:5" s="30" customFormat="1" ht="15" x14ac:dyDescent="0.3">
      <c r="A30" s="29"/>
      <c r="B30" s="34" t="s">
        <v>850</v>
      </c>
      <c r="C30" s="34" t="s">
        <v>851</v>
      </c>
      <c r="D30" s="34" t="s">
        <v>852</v>
      </c>
    </row>
    <row r="31" spans="1:5" x14ac:dyDescent="0.3">
      <c r="B31" s="31" t="s">
        <v>393</v>
      </c>
      <c r="C31" s="32" t="s">
        <v>82</v>
      </c>
      <c r="D31" s="33" t="str">
        <f>B31&amp;" was a US president"</f>
        <v>Bill Clinton was a US president</v>
      </c>
      <c r="E31" s="23"/>
    </row>
    <row r="32" spans="1:5" x14ac:dyDescent="0.3">
      <c r="B32" s="23"/>
      <c r="C32" s="23"/>
      <c r="E32" s="23"/>
    </row>
    <row r="33" spans="1:5" x14ac:dyDescent="0.3">
      <c r="A33" s="26" t="s">
        <v>846</v>
      </c>
      <c r="E33" s="23"/>
    </row>
    <row r="34" spans="1:5" x14ac:dyDescent="0.3">
      <c r="B34" s="342" t="s">
        <v>848</v>
      </c>
      <c r="C34" s="342"/>
      <c r="D34" s="342"/>
      <c r="E34" s="23"/>
    </row>
    <row r="35" spans="1:5" x14ac:dyDescent="0.3">
      <c r="B35" s="342" t="s">
        <v>847</v>
      </c>
      <c r="C35" s="342"/>
      <c r="D35" s="342"/>
      <c r="E35" s="23"/>
    </row>
    <row r="36" spans="1:5" ht="12" customHeight="1" x14ac:dyDescent="0.3">
      <c r="B36" s="28"/>
      <c r="C36" s="28"/>
      <c r="D36" s="28"/>
      <c r="E36" s="23"/>
    </row>
    <row r="37" spans="1:5" s="30" customFormat="1" ht="15" x14ac:dyDescent="0.3">
      <c r="A37" s="29"/>
      <c r="B37" s="34" t="s">
        <v>850</v>
      </c>
      <c r="C37" s="34" t="s">
        <v>851</v>
      </c>
      <c r="D37" s="34" t="s">
        <v>852</v>
      </c>
    </row>
    <row r="38" spans="1:5" x14ac:dyDescent="0.3">
      <c r="B38" s="31" t="s">
        <v>393</v>
      </c>
      <c r="C38" s="32" t="s">
        <v>83</v>
      </c>
      <c r="D38" s="35">
        <f>FIND("l",B38)</f>
        <v>3</v>
      </c>
    </row>
    <row r="39" spans="1:5" x14ac:dyDescent="0.3">
      <c r="B39" s="31" t="s">
        <v>393</v>
      </c>
      <c r="C39" s="32" t="s">
        <v>84</v>
      </c>
      <c r="D39" s="35">
        <f>FIND("n",B39,10)</f>
        <v>12</v>
      </c>
      <c r="E39" s="133" t="s">
        <v>86</v>
      </c>
    </row>
    <row r="40" spans="1:5" x14ac:dyDescent="0.3">
      <c r="B40" s="31" t="s">
        <v>393</v>
      </c>
      <c r="C40" s="32" t="s">
        <v>85</v>
      </c>
      <c r="D40" s="35" t="e">
        <f>FIND("X",B40)</f>
        <v>#VALUE!</v>
      </c>
      <c r="E40" s="133" t="s">
        <v>87</v>
      </c>
    </row>
  </sheetData>
  <mergeCells count="7">
    <mergeCell ref="B34:D34"/>
    <mergeCell ref="B35:D35"/>
    <mergeCell ref="B28:D28"/>
    <mergeCell ref="B6:D6"/>
    <mergeCell ref="B13:D13"/>
    <mergeCell ref="B20:D20"/>
    <mergeCell ref="B21:D21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79998168889431442"/>
  </sheetPr>
  <dimension ref="B1:C35"/>
  <sheetViews>
    <sheetView showGridLines="0" workbookViewId="0"/>
  </sheetViews>
  <sheetFormatPr defaultRowHeight="14.25" customHeight="1" x14ac:dyDescent="0.3"/>
  <cols>
    <col min="1" max="1" width="1.7109375" customWidth="1"/>
    <col min="2" max="2" width="19.28515625" customWidth="1"/>
    <col min="3" max="3" width="76.5703125" customWidth="1"/>
    <col min="8" max="12" width="12.7109375" customWidth="1"/>
  </cols>
  <sheetData>
    <row r="1" spans="2:3" ht="9" customHeight="1" x14ac:dyDescent="0.3"/>
    <row r="2" spans="2:3" ht="27.75" x14ac:dyDescent="0.55000000000000004">
      <c r="B2" s="91" t="s">
        <v>160</v>
      </c>
    </row>
    <row r="3" spans="2:3" ht="14.25" customHeight="1" x14ac:dyDescent="0.3">
      <c r="B3" s="110" t="s">
        <v>161</v>
      </c>
      <c r="C3" s="110" t="s">
        <v>162</v>
      </c>
    </row>
    <row r="4" spans="2:3" ht="14.25" customHeight="1" x14ac:dyDescent="0.3">
      <c r="B4" s="38" t="s">
        <v>163</v>
      </c>
      <c r="C4" s="111" t="s">
        <v>164</v>
      </c>
    </row>
    <row r="5" spans="2:3" ht="14.25" customHeight="1" x14ac:dyDescent="0.3">
      <c r="B5" s="38" t="s">
        <v>165</v>
      </c>
      <c r="C5" s="111" t="s">
        <v>166</v>
      </c>
    </row>
    <row r="6" spans="2:3" ht="14.25" customHeight="1" x14ac:dyDescent="0.3">
      <c r="B6" s="38" t="s">
        <v>167</v>
      </c>
      <c r="C6" s="111" t="s">
        <v>168</v>
      </c>
    </row>
    <row r="7" spans="2:3" ht="14.25" customHeight="1" x14ac:dyDescent="0.3">
      <c r="B7" s="38" t="s">
        <v>169</v>
      </c>
      <c r="C7" s="111" t="s">
        <v>170</v>
      </c>
    </row>
    <row r="8" spans="2:3" ht="14.25" customHeight="1" x14ac:dyDescent="0.3">
      <c r="B8" s="38" t="s">
        <v>171</v>
      </c>
      <c r="C8" s="111" t="s">
        <v>172</v>
      </c>
    </row>
    <row r="9" spans="2:3" ht="14.25" customHeight="1" x14ac:dyDescent="0.3">
      <c r="B9" s="38" t="s">
        <v>173</v>
      </c>
      <c r="C9" s="111" t="s">
        <v>174</v>
      </c>
    </row>
    <row r="10" spans="2:3" ht="14.25" customHeight="1" x14ac:dyDescent="0.3">
      <c r="B10" s="38" t="s">
        <v>175</v>
      </c>
      <c r="C10" s="111" t="s">
        <v>176</v>
      </c>
    </row>
    <row r="11" spans="2:3" ht="14.25" customHeight="1" x14ac:dyDescent="0.3">
      <c r="B11" s="38" t="s">
        <v>177</v>
      </c>
      <c r="C11" s="111" t="s">
        <v>178</v>
      </c>
    </row>
    <row r="12" spans="2:3" ht="14.25" customHeight="1" x14ac:dyDescent="0.3">
      <c r="B12" s="38" t="s">
        <v>179</v>
      </c>
      <c r="C12" s="111" t="s">
        <v>180</v>
      </c>
    </row>
    <row r="13" spans="2:3" ht="14.25" customHeight="1" x14ac:dyDescent="0.3">
      <c r="B13" s="38" t="s">
        <v>181</v>
      </c>
      <c r="C13" s="111" t="s">
        <v>182</v>
      </c>
    </row>
    <row r="14" spans="2:3" ht="14.25" customHeight="1" x14ac:dyDescent="0.3">
      <c r="B14" s="38" t="s">
        <v>183</v>
      </c>
      <c r="C14" s="111" t="s">
        <v>184</v>
      </c>
    </row>
    <row r="15" spans="2:3" ht="14.25" customHeight="1" x14ac:dyDescent="0.3">
      <c r="B15" s="38" t="s">
        <v>185</v>
      </c>
      <c r="C15" s="111" t="s">
        <v>186</v>
      </c>
    </row>
    <row r="16" spans="2:3" ht="14.25" customHeight="1" x14ac:dyDescent="0.3">
      <c r="B16" s="38" t="s">
        <v>187</v>
      </c>
      <c r="C16" s="111" t="s">
        <v>188</v>
      </c>
    </row>
    <row r="17" spans="2:3" ht="14.25" customHeight="1" x14ac:dyDescent="0.3">
      <c r="B17" s="38" t="s">
        <v>189</v>
      </c>
      <c r="C17" s="111" t="s">
        <v>190</v>
      </c>
    </row>
    <row r="18" spans="2:3" ht="14.25" customHeight="1" x14ac:dyDescent="0.3">
      <c r="B18" s="38" t="s">
        <v>191</v>
      </c>
      <c r="C18" s="111" t="s">
        <v>192</v>
      </c>
    </row>
    <row r="19" spans="2:3" ht="14.25" customHeight="1" x14ac:dyDescent="0.3">
      <c r="B19" s="38" t="s">
        <v>193</v>
      </c>
      <c r="C19" s="111" t="s">
        <v>194</v>
      </c>
    </row>
    <row r="20" spans="2:3" ht="14.25" customHeight="1" x14ac:dyDescent="0.3">
      <c r="B20" s="38" t="s">
        <v>195</v>
      </c>
      <c r="C20" s="111" t="s">
        <v>196</v>
      </c>
    </row>
    <row r="21" spans="2:3" ht="14.25" customHeight="1" x14ac:dyDescent="0.3">
      <c r="B21" s="38" t="s">
        <v>197</v>
      </c>
      <c r="C21" s="111" t="s">
        <v>198</v>
      </c>
    </row>
    <row r="22" spans="2:3" ht="14.25" customHeight="1" x14ac:dyDescent="0.3">
      <c r="B22" s="38" t="s">
        <v>199</v>
      </c>
      <c r="C22" s="111" t="s">
        <v>200</v>
      </c>
    </row>
    <row r="23" spans="2:3" ht="14.25" customHeight="1" x14ac:dyDescent="0.3">
      <c r="B23" s="38" t="s">
        <v>201</v>
      </c>
      <c r="C23" s="111" t="s">
        <v>202</v>
      </c>
    </row>
    <row r="24" spans="2:3" ht="14.25" customHeight="1" x14ac:dyDescent="0.3">
      <c r="B24" s="38" t="s">
        <v>203</v>
      </c>
      <c r="C24" s="111" t="s">
        <v>204</v>
      </c>
    </row>
    <row r="25" spans="2:3" ht="14.25" customHeight="1" x14ac:dyDescent="0.3">
      <c r="B25" s="38" t="s">
        <v>205</v>
      </c>
      <c r="C25" s="111" t="s">
        <v>206</v>
      </c>
    </row>
    <row r="26" spans="2:3" ht="14.25" customHeight="1" x14ac:dyDescent="0.3">
      <c r="B26" s="38" t="s">
        <v>207</v>
      </c>
      <c r="C26" s="111" t="s">
        <v>208</v>
      </c>
    </row>
    <row r="27" spans="2:3" ht="14.25" customHeight="1" x14ac:dyDescent="0.3">
      <c r="B27" s="38" t="s">
        <v>209</v>
      </c>
      <c r="C27" s="111" t="s">
        <v>210</v>
      </c>
    </row>
    <row r="28" spans="2:3" ht="14.25" customHeight="1" x14ac:dyDescent="0.3">
      <c r="B28" s="38" t="s">
        <v>211</v>
      </c>
      <c r="C28" s="111" t="s">
        <v>89</v>
      </c>
    </row>
    <row r="29" spans="2:3" ht="14.25" customHeight="1" x14ac:dyDescent="0.3">
      <c r="B29" s="38" t="s">
        <v>212</v>
      </c>
      <c r="C29" s="111" t="s">
        <v>213</v>
      </c>
    </row>
    <row r="30" spans="2:3" ht="14.25" customHeight="1" x14ac:dyDescent="0.3">
      <c r="B30" s="38" t="s">
        <v>214</v>
      </c>
      <c r="C30" s="111" t="s">
        <v>215</v>
      </c>
    </row>
    <row r="33" spans="2:3" ht="14.25" customHeight="1" x14ac:dyDescent="0.3">
      <c r="B33" s="5" t="s">
        <v>216</v>
      </c>
      <c r="C33" t="s">
        <v>217</v>
      </c>
    </row>
    <row r="34" spans="2:3" ht="14.25" customHeight="1" x14ac:dyDescent="0.3">
      <c r="B34" s="107" t="s">
        <v>218</v>
      </c>
      <c r="C34" t="s">
        <v>219</v>
      </c>
    </row>
    <row r="35" spans="2:3" ht="14.25" customHeight="1" x14ac:dyDescent="0.3">
      <c r="B35" t="s">
        <v>242</v>
      </c>
      <c r="C35" t="s">
        <v>243</v>
      </c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 tint="0.79998168889431442"/>
  </sheetPr>
  <dimension ref="A1:G45"/>
  <sheetViews>
    <sheetView showGridLines="0" showOutlineSymbols="0" workbookViewId="0"/>
  </sheetViews>
  <sheetFormatPr defaultRowHeight="15" x14ac:dyDescent="0.3"/>
  <cols>
    <col min="1" max="1" width="4.42578125" customWidth="1"/>
    <col min="2" max="2" width="25" customWidth="1"/>
    <col min="3" max="3" width="12.7109375" customWidth="1"/>
    <col min="4" max="4" width="18" customWidth="1"/>
    <col min="5" max="7" width="16.42578125" customWidth="1"/>
  </cols>
  <sheetData>
    <row r="1" spans="1:7" ht="21.75" x14ac:dyDescent="0.45">
      <c r="A1" s="78" t="s">
        <v>981</v>
      </c>
    </row>
    <row r="2" spans="1:7" ht="21.75" x14ac:dyDescent="0.45">
      <c r="A2" s="78"/>
    </row>
    <row r="3" spans="1:7" ht="19.5" x14ac:dyDescent="0.4">
      <c r="B3" s="6" t="s">
        <v>806</v>
      </c>
    </row>
    <row r="4" spans="1:7" ht="19.5" x14ac:dyDescent="0.4">
      <c r="B4" s="6" t="s">
        <v>807</v>
      </c>
    </row>
    <row r="5" spans="1:7" ht="19.5" x14ac:dyDescent="0.4">
      <c r="B5" s="6" t="s">
        <v>801</v>
      </c>
    </row>
    <row r="6" spans="1:7" ht="19.5" x14ac:dyDescent="0.4">
      <c r="B6" s="6" t="s">
        <v>985</v>
      </c>
    </row>
    <row r="8" spans="1:7" x14ac:dyDescent="0.3">
      <c r="B8" s="5" t="s">
        <v>390</v>
      </c>
      <c r="C8" s="5" t="s">
        <v>391</v>
      </c>
      <c r="D8" s="5" t="s">
        <v>392</v>
      </c>
      <c r="E8" s="5" t="s">
        <v>982</v>
      </c>
      <c r="F8" s="5" t="s">
        <v>983</v>
      </c>
      <c r="G8" s="5" t="s">
        <v>984</v>
      </c>
    </row>
    <row r="9" spans="1:7" x14ac:dyDescent="0.3">
      <c r="B9" t="s">
        <v>353</v>
      </c>
      <c r="C9" s="16" t="s">
        <v>378</v>
      </c>
      <c r="D9" t="s">
        <v>364</v>
      </c>
    </row>
    <row r="10" spans="1:7" x14ac:dyDescent="0.3">
      <c r="B10" t="s">
        <v>354</v>
      </c>
      <c r="C10" s="16" t="s">
        <v>379</v>
      </c>
      <c r="D10" t="s">
        <v>365</v>
      </c>
    </row>
    <row r="11" spans="1:7" x14ac:dyDescent="0.3">
      <c r="B11" t="s">
        <v>355</v>
      </c>
      <c r="C11" s="16" t="s">
        <v>380</v>
      </c>
      <c r="D11" t="s">
        <v>366</v>
      </c>
    </row>
    <row r="12" spans="1:7" x14ac:dyDescent="0.3">
      <c r="B12" t="s">
        <v>356</v>
      </c>
      <c r="C12" s="16" t="s">
        <v>381</v>
      </c>
      <c r="D12" t="s">
        <v>367</v>
      </c>
    </row>
    <row r="13" spans="1:7" x14ac:dyDescent="0.3">
      <c r="B13" t="s">
        <v>357</v>
      </c>
      <c r="C13" s="16" t="s">
        <v>382</v>
      </c>
      <c r="D13" t="s">
        <v>368</v>
      </c>
    </row>
    <row r="14" spans="1:7" x14ac:dyDescent="0.3">
      <c r="B14" t="s">
        <v>358</v>
      </c>
      <c r="C14" s="16" t="s">
        <v>383</v>
      </c>
      <c r="D14" t="s">
        <v>369</v>
      </c>
    </row>
    <row r="15" spans="1:7" x14ac:dyDescent="0.3">
      <c r="B15" t="s">
        <v>358</v>
      </c>
      <c r="C15" s="16" t="s">
        <v>384</v>
      </c>
      <c r="D15" t="s">
        <v>370</v>
      </c>
    </row>
    <row r="16" spans="1:7" x14ac:dyDescent="0.3">
      <c r="B16" t="s">
        <v>359</v>
      </c>
      <c r="C16" s="16" t="s">
        <v>385</v>
      </c>
      <c r="D16" t="s">
        <v>371</v>
      </c>
    </row>
    <row r="17" spans="2:4" x14ac:dyDescent="0.3">
      <c r="B17" t="s">
        <v>359</v>
      </c>
      <c r="C17" s="16" t="s">
        <v>378</v>
      </c>
      <c r="D17" t="s">
        <v>372</v>
      </c>
    </row>
    <row r="18" spans="2:4" x14ac:dyDescent="0.3">
      <c r="B18" t="s">
        <v>360</v>
      </c>
      <c r="C18" s="16" t="s">
        <v>386</v>
      </c>
      <c r="D18" t="s">
        <v>373</v>
      </c>
    </row>
    <row r="19" spans="2:4" x14ac:dyDescent="0.3">
      <c r="B19" t="s">
        <v>361</v>
      </c>
      <c r="C19" s="16" t="s">
        <v>386</v>
      </c>
      <c r="D19" t="s">
        <v>374</v>
      </c>
    </row>
    <row r="20" spans="2:4" x14ac:dyDescent="0.3">
      <c r="B20" t="s">
        <v>362</v>
      </c>
      <c r="C20" s="16" t="s">
        <v>387</v>
      </c>
      <c r="D20" t="s">
        <v>375</v>
      </c>
    </row>
    <row r="21" spans="2:4" x14ac:dyDescent="0.3">
      <c r="B21" t="s">
        <v>363</v>
      </c>
      <c r="C21" s="16" t="s">
        <v>388</v>
      </c>
      <c r="D21" t="s">
        <v>376</v>
      </c>
    </row>
    <row r="22" spans="2:4" x14ac:dyDescent="0.3">
      <c r="B22" t="s">
        <v>363</v>
      </c>
      <c r="C22" s="16" t="s">
        <v>389</v>
      </c>
      <c r="D22" t="s">
        <v>377</v>
      </c>
    </row>
    <row r="23" spans="2:4" x14ac:dyDescent="0.3">
      <c r="C23" s="16"/>
    </row>
    <row r="24" spans="2:4" x14ac:dyDescent="0.3">
      <c r="C24" s="16"/>
    </row>
    <row r="25" spans="2:4" x14ac:dyDescent="0.3">
      <c r="C25" s="16"/>
    </row>
    <row r="26" spans="2:4" x14ac:dyDescent="0.3">
      <c r="C26" s="16"/>
    </row>
    <row r="27" spans="2:4" x14ac:dyDescent="0.3">
      <c r="C27" s="16"/>
    </row>
    <row r="28" spans="2:4" x14ac:dyDescent="0.3">
      <c r="C28" s="16"/>
    </row>
    <row r="43" spans="2:4" x14ac:dyDescent="0.3">
      <c r="B43" s="84" t="s">
        <v>808</v>
      </c>
    </row>
    <row r="44" spans="2:4" x14ac:dyDescent="0.3">
      <c r="B44" s="5" t="s">
        <v>982</v>
      </c>
      <c r="C44" s="5" t="s">
        <v>983</v>
      </c>
      <c r="D44" s="5" t="s">
        <v>984</v>
      </c>
    </row>
    <row r="45" spans="2:4" x14ac:dyDescent="0.3">
      <c r="B45" s="15" t="s">
        <v>986</v>
      </c>
      <c r="C45" s="15" t="s">
        <v>987</v>
      </c>
      <c r="D45" s="15" t="s">
        <v>988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 tint="0.79998168889431442"/>
  </sheetPr>
  <dimension ref="A1:R40"/>
  <sheetViews>
    <sheetView showGridLines="0" workbookViewId="0"/>
  </sheetViews>
  <sheetFormatPr defaultRowHeight="15" x14ac:dyDescent="0.3"/>
  <cols>
    <col min="1" max="1" width="9.140625" style="20"/>
    <col min="2" max="2" width="16" style="20" customWidth="1"/>
    <col min="3" max="3" width="10.5703125" style="20" bestFit="1" customWidth="1"/>
    <col min="4" max="4" width="10.7109375" style="20" bestFit="1" customWidth="1"/>
    <col min="5" max="5" width="10.5703125" style="20" bestFit="1" customWidth="1"/>
    <col min="6" max="16" width="9.140625" style="20"/>
    <col min="17" max="17" width="26" style="20" customWidth="1"/>
    <col min="18" max="18" width="26.85546875" style="20" customWidth="1"/>
    <col min="19" max="16384" width="9.140625" style="20"/>
  </cols>
  <sheetData>
    <row r="1" spans="1:18" ht="21.75" x14ac:dyDescent="0.45">
      <c r="A1" s="78" t="s">
        <v>981</v>
      </c>
    </row>
    <row r="2" spans="1:18" x14ac:dyDescent="0.3">
      <c r="A2" s="19" t="s">
        <v>989</v>
      </c>
    </row>
    <row r="3" spans="1:18" x14ac:dyDescent="0.3">
      <c r="A3" s="19"/>
    </row>
    <row r="4" spans="1:18" ht="19.5" x14ac:dyDescent="0.4">
      <c r="B4" s="22" t="s">
        <v>836</v>
      </c>
      <c r="Q4" s="19" t="s">
        <v>808</v>
      </c>
    </row>
    <row r="6" spans="1:18" x14ac:dyDescent="0.3">
      <c r="B6" s="46" t="s">
        <v>350</v>
      </c>
      <c r="C6" s="46" t="s">
        <v>351</v>
      </c>
      <c r="E6" s="19" t="s">
        <v>809</v>
      </c>
      <c r="Q6" s="21" t="s">
        <v>810</v>
      </c>
    </row>
    <row r="7" spans="1:18" x14ac:dyDescent="0.3">
      <c r="B7" s="47" t="s">
        <v>811</v>
      </c>
      <c r="C7" s="47" t="s">
        <v>812</v>
      </c>
      <c r="E7" s="21"/>
    </row>
    <row r="8" spans="1:18" x14ac:dyDescent="0.3">
      <c r="B8" s="47" t="s">
        <v>813</v>
      </c>
      <c r="C8" s="47" t="s">
        <v>814</v>
      </c>
    </row>
    <row r="9" spans="1:18" x14ac:dyDescent="0.3">
      <c r="B9" s="47" t="s">
        <v>815</v>
      </c>
      <c r="C9" s="47" t="s">
        <v>816</v>
      </c>
    </row>
    <row r="10" spans="1:18" x14ac:dyDescent="0.3">
      <c r="B10" s="47" t="s">
        <v>817</v>
      </c>
      <c r="C10" s="47" t="s">
        <v>818</v>
      </c>
    </row>
    <row r="13" spans="1:18" ht="19.5" x14ac:dyDescent="0.4">
      <c r="B13" s="22" t="s">
        <v>835</v>
      </c>
    </row>
    <row r="15" spans="1:18" x14ac:dyDescent="0.3">
      <c r="B15" s="46" t="s">
        <v>809</v>
      </c>
      <c r="C15" s="19"/>
      <c r="D15" s="19" t="s">
        <v>350</v>
      </c>
      <c r="E15" s="19" t="s">
        <v>351</v>
      </c>
    </row>
    <row r="16" spans="1:18" x14ac:dyDescent="0.3">
      <c r="B16" s="47" t="s">
        <v>819</v>
      </c>
      <c r="D16" s="21"/>
      <c r="E16" s="21"/>
      <c r="Q16" s="21" t="s">
        <v>820</v>
      </c>
      <c r="R16" s="21" t="s">
        <v>821</v>
      </c>
    </row>
    <row r="17" spans="2:18" x14ac:dyDescent="0.3">
      <c r="B17" s="47" t="s">
        <v>822</v>
      </c>
    </row>
    <row r="18" spans="2:18" x14ac:dyDescent="0.3">
      <c r="B18" s="47" t="s">
        <v>823</v>
      </c>
    </row>
    <row r="19" spans="2:18" x14ac:dyDescent="0.3">
      <c r="B19" s="47" t="s">
        <v>824</v>
      </c>
    </row>
    <row r="22" spans="2:18" ht="19.5" x14ac:dyDescent="0.4">
      <c r="B22" s="22" t="s">
        <v>834</v>
      </c>
    </row>
    <row r="24" spans="2:18" x14ac:dyDescent="0.3">
      <c r="B24" s="46" t="s">
        <v>809</v>
      </c>
      <c r="C24" s="19"/>
      <c r="D24" s="19" t="s">
        <v>350</v>
      </c>
      <c r="E24" s="19" t="s">
        <v>351</v>
      </c>
    </row>
    <row r="25" spans="2:18" x14ac:dyDescent="0.3">
      <c r="B25" s="47" t="s">
        <v>825</v>
      </c>
      <c r="D25" s="21"/>
      <c r="E25" s="21"/>
      <c r="Q25" s="21" t="s">
        <v>826</v>
      </c>
      <c r="R25" s="21" t="s">
        <v>827</v>
      </c>
    </row>
    <row r="26" spans="2:18" x14ac:dyDescent="0.3">
      <c r="B26" s="47" t="s">
        <v>828</v>
      </c>
    </row>
    <row r="27" spans="2:18" x14ac:dyDescent="0.3">
      <c r="B27" s="47" t="s">
        <v>829</v>
      </c>
    </row>
    <row r="28" spans="2:18" x14ac:dyDescent="0.3">
      <c r="B28" s="47" t="s">
        <v>830</v>
      </c>
    </row>
    <row r="31" spans="2:18" ht="19.5" x14ac:dyDescent="0.4">
      <c r="B31" s="22" t="s">
        <v>833</v>
      </c>
    </row>
    <row r="32" spans="2:18" x14ac:dyDescent="0.3">
      <c r="B32" s="19"/>
    </row>
    <row r="33" spans="2:17" x14ac:dyDescent="0.3">
      <c r="B33" s="46" t="s">
        <v>809</v>
      </c>
      <c r="D33" s="19" t="s">
        <v>831</v>
      </c>
    </row>
    <row r="34" spans="2:17" x14ac:dyDescent="0.3">
      <c r="B34" s="47" t="s">
        <v>819</v>
      </c>
      <c r="D34" s="21"/>
      <c r="Q34" s="21" t="s">
        <v>832</v>
      </c>
    </row>
    <row r="35" spans="2:17" x14ac:dyDescent="0.3">
      <c r="B35" s="47" t="s">
        <v>822</v>
      </c>
    </row>
    <row r="36" spans="2:17" x14ac:dyDescent="0.3">
      <c r="B36" s="47" t="s">
        <v>823</v>
      </c>
    </row>
    <row r="37" spans="2:17" x14ac:dyDescent="0.3">
      <c r="B37" s="47" t="s">
        <v>824</v>
      </c>
    </row>
    <row r="40" spans="2:17" x14ac:dyDescent="0.3">
      <c r="B40" s="19"/>
    </row>
  </sheetData>
  <phoneticPr fontId="14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39997558519241921"/>
  </sheetPr>
  <dimension ref="A1:C53"/>
  <sheetViews>
    <sheetView workbookViewId="0">
      <selection activeCell="A29" sqref="A29"/>
    </sheetView>
  </sheetViews>
  <sheetFormatPr defaultColWidth="12.140625" defaultRowHeight="15" x14ac:dyDescent="0.3"/>
  <cols>
    <col min="1" max="1" width="46.85546875" style="87" customWidth="1"/>
    <col min="2" max="2" width="24.140625" style="87" customWidth="1"/>
    <col min="3" max="3" width="31.7109375" style="87" bestFit="1" customWidth="1"/>
    <col min="4" max="16384" width="12.140625" style="87"/>
  </cols>
  <sheetData>
    <row r="1" spans="1:3" ht="19.5" x14ac:dyDescent="0.3">
      <c r="A1" s="128" t="s">
        <v>116</v>
      </c>
    </row>
    <row r="2" spans="1:3" x14ac:dyDescent="0.3">
      <c r="A2" s="130" t="s">
        <v>120</v>
      </c>
    </row>
    <row r="4" spans="1:3" x14ac:dyDescent="0.3">
      <c r="A4" s="127" t="s">
        <v>5</v>
      </c>
      <c r="B4" s="127" t="s">
        <v>6</v>
      </c>
      <c r="C4" s="127" t="s">
        <v>7</v>
      </c>
    </row>
    <row r="5" spans="1:3" x14ac:dyDescent="0.3">
      <c r="A5" s="87" t="s">
        <v>8</v>
      </c>
      <c r="B5" s="87" t="s">
        <v>9</v>
      </c>
      <c r="C5" s="87" t="s">
        <v>10</v>
      </c>
    </row>
    <row r="6" spans="1:3" x14ac:dyDescent="0.3">
      <c r="A6" s="87" t="s">
        <v>11</v>
      </c>
      <c r="B6" s="87" t="s">
        <v>9</v>
      </c>
      <c r="C6" s="87" t="s">
        <v>12</v>
      </c>
    </row>
    <row r="7" spans="1:3" x14ac:dyDescent="0.3">
      <c r="A7" s="87" t="s">
        <v>13</v>
      </c>
      <c r="B7" s="87" t="s">
        <v>9</v>
      </c>
      <c r="C7" s="87" t="s">
        <v>14</v>
      </c>
    </row>
    <row r="8" spans="1:3" x14ac:dyDescent="0.3">
      <c r="A8" s="87" t="s">
        <v>15</v>
      </c>
      <c r="B8" s="87" t="s">
        <v>9</v>
      </c>
      <c r="C8" s="87" t="s">
        <v>16</v>
      </c>
    </row>
    <row r="9" spans="1:3" x14ac:dyDescent="0.3">
      <c r="A9" s="87" t="s">
        <v>17</v>
      </c>
      <c r="B9" s="87" t="s">
        <v>9</v>
      </c>
      <c r="C9" s="87" t="s">
        <v>18</v>
      </c>
    </row>
    <row r="10" spans="1:3" x14ac:dyDescent="0.3">
      <c r="A10" s="87" t="s">
        <v>19</v>
      </c>
      <c r="B10" s="87" t="s">
        <v>20</v>
      </c>
      <c r="C10" s="87" t="s">
        <v>21</v>
      </c>
    </row>
    <row r="11" spans="1:3" x14ac:dyDescent="0.3">
      <c r="A11" s="87" t="s">
        <v>22</v>
      </c>
      <c r="B11" s="87" t="s">
        <v>20</v>
      </c>
      <c r="C11" s="87" t="s">
        <v>23</v>
      </c>
    </row>
    <row r="12" spans="1:3" x14ac:dyDescent="0.3">
      <c r="A12" s="87" t="s">
        <v>24</v>
      </c>
      <c r="B12" s="87" t="s">
        <v>9</v>
      </c>
      <c r="C12" s="87" t="s">
        <v>25</v>
      </c>
    </row>
    <row r="13" spans="1:3" x14ac:dyDescent="0.3">
      <c r="A13" s="87" t="s">
        <v>26</v>
      </c>
      <c r="B13" s="87" t="s">
        <v>20</v>
      </c>
      <c r="C13" s="87" t="s">
        <v>27</v>
      </c>
    </row>
    <row r="14" spans="1:3" x14ac:dyDescent="0.3">
      <c r="A14" s="87" t="s">
        <v>28</v>
      </c>
      <c r="B14" s="87" t="s">
        <v>9</v>
      </c>
      <c r="C14" s="87" t="s">
        <v>29</v>
      </c>
    </row>
    <row r="15" spans="1:3" x14ac:dyDescent="0.3">
      <c r="A15" s="87" t="s">
        <v>30</v>
      </c>
      <c r="B15" s="87" t="s">
        <v>31</v>
      </c>
      <c r="C15" s="87" t="s">
        <v>32</v>
      </c>
    </row>
    <row r="16" spans="1:3" x14ac:dyDescent="0.3">
      <c r="A16" s="87" t="s">
        <v>33</v>
      </c>
      <c r="B16" s="87" t="s">
        <v>31</v>
      </c>
      <c r="C16" s="87" t="s">
        <v>34</v>
      </c>
    </row>
    <row r="17" spans="1:3" x14ac:dyDescent="0.3">
      <c r="A17" s="87" t="s">
        <v>35</v>
      </c>
      <c r="B17" s="87" t="s">
        <v>36</v>
      </c>
      <c r="C17" s="87" t="s">
        <v>37</v>
      </c>
    </row>
    <row r="19" spans="1:3" x14ac:dyDescent="0.3">
      <c r="A19" s="127" t="s">
        <v>38</v>
      </c>
    </row>
    <row r="20" spans="1:3" x14ac:dyDescent="0.3">
      <c r="A20" s="87" t="s">
        <v>41</v>
      </c>
      <c r="B20" s="87" t="s">
        <v>31</v>
      </c>
      <c r="C20" s="87" t="s">
        <v>42</v>
      </c>
    </row>
    <row r="21" spans="1:3" x14ac:dyDescent="0.3">
      <c r="A21" s="87" t="s">
        <v>43</v>
      </c>
      <c r="B21" s="87" t="s">
        <v>44</v>
      </c>
      <c r="C21" s="87" t="s">
        <v>45</v>
      </c>
    </row>
    <row r="22" spans="1:3" x14ac:dyDescent="0.3">
      <c r="A22" s="87" t="s">
        <v>46</v>
      </c>
      <c r="B22" s="87" t="s">
        <v>31</v>
      </c>
      <c r="C22" s="87" t="s">
        <v>47</v>
      </c>
    </row>
    <row r="23" spans="1:3" x14ac:dyDescent="0.3">
      <c r="A23" s="87" t="s">
        <v>48</v>
      </c>
      <c r="B23" s="87" t="s">
        <v>44</v>
      </c>
      <c r="C23" s="87" t="s">
        <v>49</v>
      </c>
    </row>
    <row r="24" spans="1:3" x14ac:dyDescent="0.3">
      <c r="A24" s="87" t="s">
        <v>50</v>
      </c>
      <c r="B24" s="87" t="s">
        <v>20</v>
      </c>
      <c r="C24" s="87" t="s">
        <v>51</v>
      </c>
    </row>
    <row r="25" spans="1:3" x14ac:dyDescent="0.3">
      <c r="A25" s="87" t="s">
        <v>52</v>
      </c>
      <c r="B25" s="87" t="s">
        <v>20</v>
      </c>
      <c r="C25" s="87" t="s">
        <v>53</v>
      </c>
    </row>
    <row r="26" spans="1:3" ht="45" x14ac:dyDescent="0.3">
      <c r="A26" s="87" t="s">
        <v>54</v>
      </c>
      <c r="B26" s="87" t="s">
        <v>55</v>
      </c>
      <c r="C26" s="87" t="s">
        <v>56</v>
      </c>
    </row>
    <row r="27" spans="1:3" ht="30" x14ac:dyDescent="0.3">
      <c r="A27" s="87" t="s">
        <v>57</v>
      </c>
      <c r="B27" s="87" t="s">
        <v>55</v>
      </c>
      <c r="C27" s="87" t="s">
        <v>58</v>
      </c>
    </row>
    <row r="28" spans="1:3" ht="30" x14ac:dyDescent="0.3">
      <c r="A28" s="87" t="s">
        <v>57</v>
      </c>
      <c r="B28" s="87" t="s">
        <v>55</v>
      </c>
      <c r="C28" s="87" t="s">
        <v>59</v>
      </c>
    </row>
    <row r="29" spans="1:3" ht="30" x14ac:dyDescent="0.3">
      <c r="A29" s="87" t="s">
        <v>60</v>
      </c>
      <c r="B29" s="87" t="s">
        <v>55</v>
      </c>
      <c r="C29" s="87" t="s">
        <v>61</v>
      </c>
    </row>
    <row r="30" spans="1:3" x14ac:dyDescent="0.3">
      <c r="A30" s="87" t="s">
        <v>62</v>
      </c>
      <c r="B30" s="87" t="s">
        <v>55</v>
      </c>
      <c r="C30" s="87" t="s">
        <v>63</v>
      </c>
    </row>
    <row r="31" spans="1:3" ht="30" x14ac:dyDescent="0.3">
      <c r="A31" s="87" t="s">
        <v>57</v>
      </c>
      <c r="B31" s="87" t="s">
        <v>44</v>
      </c>
      <c r="C31" s="87" t="s">
        <v>64</v>
      </c>
    </row>
    <row r="32" spans="1:3" ht="30" x14ac:dyDescent="0.3">
      <c r="A32" s="87" t="s">
        <v>57</v>
      </c>
      <c r="B32" s="87" t="s">
        <v>44</v>
      </c>
      <c r="C32" s="87" t="s">
        <v>65</v>
      </c>
    </row>
    <row r="33" spans="1:3" ht="30" x14ac:dyDescent="0.3">
      <c r="A33" s="87" t="s">
        <v>57</v>
      </c>
      <c r="B33" s="87" t="s">
        <v>55</v>
      </c>
      <c r="C33" s="87" t="s">
        <v>66</v>
      </c>
    </row>
    <row r="34" spans="1:3" x14ac:dyDescent="0.3">
      <c r="A34" s="87" t="s">
        <v>67</v>
      </c>
      <c r="B34" s="87" t="s">
        <v>55</v>
      </c>
      <c r="C34" s="87" t="s">
        <v>68</v>
      </c>
    </row>
    <row r="35" spans="1:3" x14ac:dyDescent="0.3">
      <c r="A35" s="87" t="s">
        <v>69</v>
      </c>
      <c r="B35" s="87" t="s">
        <v>55</v>
      </c>
      <c r="C35" s="87" t="s">
        <v>70</v>
      </c>
    </row>
    <row r="36" spans="1:3" ht="30" x14ac:dyDescent="0.3">
      <c r="A36" s="87" t="s">
        <v>71</v>
      </c>
      <c r="B36" s="87" t="s">
        <v>44</v>
      </c>
      <c r="C36" s="87" t="s">
        <v>72</v>
      </c>
    </row>
    <row r="37" spans="1:3" ht="30" x14ac:dyDescent="0.3">
      <c r="A37" s="87" t="s">
        <v>57</v>
      </c>
      <c r="B37" s="87" t="s">
        <v>55</v>
      </c>
      <c r="C37" s="87" t="s">
        <v>73</v>
      </c>
    </row>
    <row r="38" spans="1:3" ht="30" x14ac:dyDescent="0.3">
      <c r="A38" s="87" t="s">
        <v>60</v>
      </c>
      <c r="B38" s="87" t="s">
        <v>44</v>
      </c>
      <c r="C38" s="87" t="s">
        <v>74</v>
      </c>
    </row>
    <row r="39" spans="1:3" x14ac:dyDescent="0.3">
      <c r="A39" s="87" t="s">
        <v>92</v>
      </c>
      <c r="B39" s="87" t="s">
        <v>44</v>
      </c>
      <c r="C39" s="87" t="s">
        <v>93</v>
      </c>
    </row>
    <row r="40" spans="1:3" x14ac:dyDescent="0.3">
      <c r="A40" s="87" t="s">
        <v>94</v>
      </c>
      <c r="B40" s="87" t="s">
        <v>95</v>
      </c>
      <c r="C40" s="87" t="s">
        <v>96</v>
      </c>
    </row>
    <row r="42" spans="1:3" x14ac:dyDescent="0.3">
      <c r="A42" s="127" t="s">
        <v>97</v>
      </c>
    </row>
    <row r="43" spans="1:3" x14ac:dyDescent="0.3">
      <c r="A43" s="87" t="s">
        <v>98</v>
      </c>
      <c r="B43" s="87" t="s">
        <v>20</v>
      </c>
      <c r="C43" s="87" t="s">
        <v>99</v>
      </c>
    </row>
    <row r="44" spans="1:3" ht="30" x14ac:dyDescent="0.3">
      <c r="A44" s="87" t="s">
        <v>100</v>
      </c>
      <c r="B44" s="87" t="s">
        <v>101</v>
      </c>
      <c r="C44" s="87" t="s">
        <v>102</v>
      </c>
    </row>
    <row r="45" spans="1:3" ht="30" x14ac:dyDescent="0.3">
      <c r="A45" s="87" t="s">
        <v>103</v>
      </c>
      <c r="B45" s="87" t="s">
        <v>101</v>
      </c>
      <c r="C45" s="87" t="s">
        <v>104</v>
      </c>
    </row>
    <row r="46" spans="1:3" ht="30" x14ac:dyDescent="0.3">
      <c r="A46" s="87" t="s">
        <v>105</v>
      </c>
      <c r="B46" s="87" t="s">
        <v>31</v>
      </c>
      <c r="C46" s="87" t="s">
        <v>106</v>
      </c>
    </row>
    <row r="47" spans="1:3" ht="45" x14ac:dyDescent="0.3">
      <c r="A47" s="87" t="s">
        <v>107</v>
      </c>
      <c r="B47" s="87" t="s">
        <v>851</v>
      </c>
      <c r="C47" s="87" t="s">
        <v>108</v>
      </c>
    </row>
    <row r="49" spans="1:3" x14ac:dyDescent="0.3">
      <c r="A49" s="127" t="s">
        <v>109</v>
      </c>
    </row>
    <row r="50" spans="1:3" ht="45" x14ac:dyDescent="0.3">
      <c r="A50" s="87" t="s">
        <v>107</v>
      </c>
      <c r="B50" s="87" t="s">
        <v>851</v>
      </c>
      <c r="C50" s="87" t="s">
        <v>108</v>
      </c>
    </row>
    <row r="51" spans="1:3" ht="30" x14ac:dyDescent="0.3">
      <c r="A51" s="87" t="s">
        <v>110</v>
      </c>
      <c r="B51" s="87" t="s">
        <v>55</v>
      </c>
      <c r="C51" s="87" t="s">
        <v>111</v>
      </c>
    </row>
    <row r="52" spans="1:3" x14ac:dyDescent="0.3">
      <c r="A52" s="87" t="s">
        <v>112</v>
      </c>
      <c r="B52" s="87" t="s">
        <v>55</v>
      </c>
      <c r="C52" s="87" t="s">
        <v>113</v>
      </c>
    </row>
    <row r="53" spans="1:3" ht="30" x14ac:dyDescent="0.3">
      <c r="A53" s="87" t="s">
        <v>114</v>
      </c>
      <c r="B53" s="87" t="s">
        <v>55</v>
      </c>
      <c r="C53" s="87" t="s">
        <v>115</v>
      </c>
    </row>
  </sheetData>
  <phoneticPr fontId="5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9" tint="0.79998168889431442"/>
  </sheetPr>
  <dimension ref="B2:G25"/>
  <sheetViews>
    <sheetView showGridLines="0" zoomScale="160" workbookViewId="0"/>
  </sheetViews>
  <sheetFormatPr defaultRowHeight="15" x14ac:dyDescent="0.3"/>
  <cols>
    <col min="2" max="13" width="12.7109375" customWidth="1"/>
  </cols>
  <sheetData>
    <row r="2" spans="2:7" ht="18.75" customHeight="1" x14ac:dyDescent="0.3">
      <c r="B2" s="26" t="s">
        <v>858</v>
      </c>
    </row>
    <row r="3" spans="2:7" ht="18.75" customHeight="1" x14ac:dyDescent="0.3">
      <c r="B3" s="26"/>
    </row>
    <row r="4" spans="2:7" ht="18.75" customHeight="1" x14ac:dyDescent="0.3">
      <c r="B4" t="s">
        <v>854</v>
      </c>
    </row>
    <row r="5" spans="2:7" ht="18.75" customHeight="1" x14ac:dyDescent="0.3">
      <c r="C5" t="s">
        <v>855</v>
      </c>
    </row>
    <row r="6" spans="2:7" ht="18.75" customHeight="1" x14ac:dyDescent="0.3">
      <c r="B6" s="26"/>
      <c r="D6" t="s">
        <v>856</v>
      </c>
    </row>
    <row r="7" spans="2:7" ht="18.75" customHeight="1" x14ac:dyDescent="0.3">
      <c r="B7" s="26"/>
      <c r="F7" t="s">
        <v>857</v>
      </c>
    </row>
    <row r="8" spans="2:7" ht="18.75" customHeight="1" x14ac:dyDescent="0.3">
      <c r="B8" s="26"/>
    </row>
    <row r="9" spans="2:7" x14ac:dyDescent="0.3">
      <c r="B9" s="5" t="s">
        <v>864</v>
      </c>
    </row>
    <row r="10" spans="2:7" x14ac:dyDescent="0.3">
      <c r="B10" s="5" t="s">
        <v>867</v>
      </c>
    </row>
    <row r="13" spans="2:7" ht="15.75" thickBot="1" x14ac:dyDescent="0.35">
      <c r="D13" s="48" t="s">
        <v>396</v>
      </c>
      <c r="F13" s="48" t="s">
        <v>396</v>
      </c>
      <c r="G13" s="48" t="s">
        <v>798</v>
      </c>
    </row>
    <row r="14" spans="2:7" ht="16.5" thickTop="1" thickBot="1" x14ac:dyDescent="0.35">
      <c r="D14" s="49" t="s">
        <v>762</v>
      </c>
      <c r="F14" s="50" t="s">
        <v>785</v>
      </c>
      <c r="G14" s="51" t="s">
        <v>799</v>
      </c>
    </row>
    <row r="15" spans="2:7" ht="15.75" thickTop="1" x14ac:dyDescent="0.3">
      <c r="F15" s="52" t="s">
        <v>774</v>
      </c>
      <c r="G15" s="53" t="s">
        <v>799</v>
      </c>
    </row>
    <row r="16" spans="2:7" x14ac:dyDescent="0.3">
      <c r="F16" s="52" t="s">
        <v>762</v>
      </c>
      <c r="G16" s="53" t="s">
        <v>800</v>
      </c>
    </row>
    <row r="17" spans="2:7" x14ac:dyDescent="0.3">
      <c r="F17" s="52" t="s">
        <v>751</v>
      </c>
      <c r="G17" s="53" t="s">
        <v>800</v>
      </c>
    </row>
    <row r="18" spans="2:7" x14ac:dyDescent="0.3">
      <c r="F18" s="52" t="s">
        <v>739</v>
      </c>
      <c r="G18" s="53" t="s">
        <v>799</v>
      </c>
    </row>
    <row r="19" spans="2:7" ht="15.75" thickBot="1" x14ac:dyDescent="0.35">
      <c r="F19" s="54" t="s">
        <v>726</v>
      </c>
      <c r="G19" s="55" t="s">
        <v>799</v>
      </c>
    </row>
    <row r="20" spans="2:7" ht="15.75" thickTop="1" x14ac:dyDescent="0.3">
      <c r="B20" s="56" t="s">
        <v>865</v>
      </c>
      <c r="C20" s="15"/>
    </row>
    <row r="21" spans="2:7" x14ac:dyDescent="0.3">
      <c r="B21" s="15"/>
      <c r="C21" s="15" t="s">
        <v>866</v>
      </c>
    </row>
    <row r="24" spans="2:7" x14ac:dyDescent="0.3">
      <c r="E24" t="s">
        <v>244</v>
      </c>
    </row>
    <row r="25" spans="2:7" x14ac:dyDescent="0.3">
      <c r="B25" t="s">
        <v>245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9" tint="0.79998168889431442"/>
  </sheetPr>
  <dimension ref="A1:L39"/>
  <sheetViews>
    <sheetView showGridLines="0" workbookViewId="0"/>
  </sheetViews>
  <sheetFormatPr defaultRowHeight="15" x14ac:dyDescent="0.3"/>
  <cols>
    <col min="1" max="12" width="12.7109375" customWidth="1"/>
  </cols>
  <sheetData>
    <row r="1" spans="1:12" s="23" customFormat="1" ht="21.75" x14ac:dyDescent="0.45">
      <c r="A1" s="78" t="s">
        <v>246</v>
      </c>
      <c r="B1" s="25"/>
      <c r="C1" s="25"/>
      <c r="E1" s="24"/>
    </row>
    <row r="2" spans="1:12" s="23" customFormat="1" ht="19.5" x14ac:dyDescent="0.3">
      <c r="A2" s="5"/>
      <c r="B2" s="25"/>
      <c r="C2" s="25"/>
      <c r="E2" s="24"/>
    </row>
    <row r="3" spans="1:12" s="23" customFormat="1" ht="19.5" x14ac:dyDescent="0.3">
      <c r="A3" s="5"/>
      <c r="B3" s="25"/>
      <c r="C3" s="25"/>
      <c r="E3" s="24"/>
    </row>
    <row r="4" spans="1:12" ht="18.75" customHeight="1" x14ac:dyDescent="0.4">
      <c r="B4" s="6" t="s">
        <v>859</v>
      </c>
    </row>
    <row r="6" spans="1:12" x14ac:dyDescent="0.3">
      <c r="B6" s="5" t="s">
        <v>860</v>
      </c>
      <c r="C6" s="42"/>
      <c r="D6" s="42"/>
      <c r="E6" s="42"/>
      <c r="F6" s="42"/>
      <c r="G6" s="42"/>
      <c r="H6" s="42"/>
      <c r="I6" s="17"/>
      <c r="J6" s="5" t="s">
        <v>861</v>
      </c>
      <c r="L6" s="17"/>
    </row>
    <row r="7" spans="1:12" x14ac:dyDescent="0.3">
      <c r="B7" s="36" t="s">
        <v>394</v>
      </c>
      <c r="C7" s="36" t="s">
        <v>395</v>
      </c>
      <c r="D7" s="36" t="s">
        <v>396</v>
      </c>
      <c r="E7" s="36" t="s">
        <v>796</v>
      </c>
      <c r="F7" s="36" t="s">
        <v>797</v>
      </c>
      <c r="G7" s="37" t="s">
        <v>853</v>
      </c>
      <c r="H7" s="44"/>
      <c r="I7" s="42"/>
      <c r="J7" s="39" t="s">
        <v>396</v>
      </c>
      <c r="K7" s="39" t="s">
        <v>798</v>
      </c>
    </row>
    <row r="8" spans="1:12" x14ac:dyDescent="0.3">
      <c r="B8" s="40" t="s">
        <v>397</v>
      </c>
      <c r="C8" s="40" t="s">
        <v>398</v>
      </c>
      <c r="D8" s="40" t="s">
        <v>399</v>
      </c>
      <c r="E8" s="40">
        <v>67</v>
      </c>
      <c r="F8" s="40">
        <v>950</v>
      </c>
      <c r="G8" s="41"/>
      <c r="H8" s="45"/>
      <c r="I8" s="42"/>
      <c r="J8" s="38" t="s">
        <v>785</v>
      </c>
      <c r="K8" s="38" t="s">
        <v>799</v>
      </c>
    </row>
    <row r="9" spans="1:12" x14ac:dyDescent="0.3">
      <c r="B9" s="40" t="s">
        <v>413</v>
      </c>
      <c r="C9" s="40" t="s">
        <v>398</v>
      </c>
      <c r="D9" s="40" t="s">
        <v>414</v>
      </c>
      <c r="E9" s="40">
        <v>72</v>
      </c>
      <c r="F9" s="40">
        <v>1114</v>
      </c>
      <c r="G9" s="41"/>
      <c r="H9" s="45"/>
      <c r="I9" s="42"/>
      <c r="J9" s="38" t="s">
        <v>774</v>
      </c>
      <c r="K9" s="38" t="s">
        <v>799</v>
      </c>
    </row>
    <row r="10" spans="1:12" x14ac:dyDescent="0.3">
      <c r="B10" s="40" t="s">
        <v>424</v>
      </c>
      <c r="C10" s="40" t="s">
        <v>398</v>
      </c>
      <c r="D10" s="40" t="s">
        <v>425</v>
      </c>
      <c r="E10" s="40">
        <v>84</v>
      </c>
      <c r="F10" s="40">
        <v>1253</v>
      </c>
      <c r="G10" s="41"/>
      <c r="H10" s="45"/>
      <c r="I10" s="42"/>
      <c r="J10" s="38" t="s">
        <v>762</v>
      </c>
      <c r="K10" s="38" t="s">
        <v>800</v>
      </c>
    </row>
    <row r="11" spans="1:12" x14ac:dyDescent="0.3">
      <c r="H11" s="45"/>
      <c r="I11" s="42"/>
      <c r="J11" s="38" t="s">
        <v>751</v>
      </c>
      <c r="K11" s="38" t="s">
        <v>800</v>
      </c>
    </row>
    <row r="12" spans="1:12" x14ac:dyDescent="0.3">
      <c r="J12" s="38" t="s">
        <v>739</v>
      </c>
      <c r="K12" s="38" t="s">
        <v>799</v>
      </c>
    </row>
    <row r="13" spans="1:12" x14ac:dyDescent="0.3">
      <c r="J13" s="38" t="s">
        <v>726</v>
      </c>
      <c r="K13" s="38" t="s">
        <v>799</v>
      </c>
    </row>
    <row r="14" spans="1:12" x14ac:dyDescent="0.3">
      <c r="J14" s="38" t="s">
        <v>713</v>
      </c>
      <c r="K14" s="38" t="s">
        <v>800</v>
      </c>
    </row>
    <row r="15" spans="1:12" x14ac:dyDescent="0.3">
      <c r="J15" s="38" t="s">
        <v>702</v>
      </c>
      <c r="K15" s="38" t="s">
        <v>800</v>
      </c>
    </row>
    <row r="16" spans="1:12" x14ac:dyDescent="0.3">
      <c r="J16" s="38" t="s">
        <v>690</v>
      </c>
      <c r="K16" s="38" t="s">
        <v>799</v>
      </c>
    </row>
    <row r="17" spans="10:11" x14ac:dyDescent="0.3">
      <c r="J17" s="38" t="s">
        <v>678</v>
      </c>
      <c r="K17" s="38" t="s">
        <v>800</v>
      </c>
    </row>
    <row r="18" spans="10:11" x14ac:dyDescent="0.3">
      <c r="J18" s="38" t="s">
        <v>664</v>
      </c>
      <c r="K18" s="38" t="s">
        <v>799</v>
      </c>
    </row>
    <row r="19" spans="10:11" x14ac:dyDescent="0.3">
      <c r="J19" s="38" t="s">
        <v>651</v>
      </c>
      <c r="K19" s="38" t="s">
        <v>799</v>
      </c>
    </row>
    <row r="20" spans="10:11" x14ac:dyDescent="0.3">
      <c r="J20" s="38" t="s">
        <v>639</v>
      </c>
      <c r="K20" s="38" t="s">
        <v>800</v>
      </c>
    </row>
    <row r="21" spans="10:11" x14ac:dyDescent="0.3">
      <c r="J21" s="38" t="s">
        <v>627</v>
      </c>
      <c r="K21" s="38" t="s">
        <v>800</v>
      </c>
    </row>
    <row r="22" spans="10:11" x14ac:dyDescent="0.3">
      <c r="J22" s="38" t="s">
        <v>614</v>
      </c>
      <c r="K22" s="38" t="s">
        <v>800</v>
      </c>
    </row>
    <row r="23" spans="10:11" x14ac:dyDescent="0.3">
      <c r="J23" s="38" t="s">
        <v>601</v>
      </c>
      <c r="K23" s="38" t="s">
        <v>800</v>
      </c>
    </row>
    <row r="24" spans="10:11" x14ac:dyDescent="0.3">
      <c r="J24" s="38" t="s">
        <v>588</v>
      </c>
      <c r="K24" s="38" t="s">
        <v>800</v>
      </c>
    </row>
    <row r="25" spans="10:11" x14ac:dyDescent="0.3">
      <c r="J25" s="38" t="s">
        <v>574</v>
      </c>
      <c r="K25" s="38" t="s">
        <v>799</v>
      </c>
    </row>
    <row r="26" spans="10:11" x14ac:dyDescent="0.3">
      <c r="J26" s="38" t="s">
        <v>561</v>
      </c>
      <c r="K26" s="38" t="s">
        <v>800</v>
      </c>
    </row>
    <row r="27" spans="10:11" x14ac:dyDescent="0.3">
      <c r="J27" s="38" t="s">
        <v>548</v>
      </c>
      <c r="K27" s="38" t="s">
        <v>799</v>
      </c>
    </row>
    <row r="28" spans="10:11" x14ac:dyDescent="0.3">
      <c r="J28" s="38" t="s">
        <v>535</v>
      </c>
      <c r="K28" s="38" t="s">
        <v>799</v>
      </c>
    </row>
    <row r="29" spans="10:11" x14ac:dyDescent="0.3">
      <c r="J29" s="38" t="s">
        <v>524</v>
      </c>
      <c r="K29" s="38" t="s">
        <v>800</v>
      </c>
    </row>
    <row r="30" spans="10:11" x14ac:dyDescent="0.3">
      <c r="J30" s="38" t="s">
        <v>510</v>
      </c>
      <c r="K30" s="38" t="s">
        <v>800</v>
      </c>
    </row>
    <row r="31" spans="10:11" x14ac:dyDescent="0.3">
      <c r="J31" s="38" t="s">
        <v>499</v>
      </c>
      <c r="K31" s="38" t="s">
        <v>799</v>
      </c>
    </row>
    <row r="32" spans="10:11" x14ac:dyDescent="0.3">
      <c r="J32" s="38" t="s">
        <v>487</v>
      </c>
      <c r="K32" s="38" t="s">
        <v>800</v>
      </c>
    </row>
    <row r="33" spans="10:11" x14ac:dyDescent="0.3">
      <c r="J33" s="38" t="s">
        <v>475</v>
      </c>
      <c r="K33" s="38" t="s">
        <v>800</v>
      </c>
    </row>
    <row r="34" spans="10:11" x14ac:dyDescent="0.3">
      <c r="J34" s="38" t="s">
        <v>462</v>
      </c>
      <c r="K34" s="38" t="s">
        <v>799</v>
      </c>
    </row>
    <row r="35" spans="10:11" x14ac:dyDescent="0.3">
      <c r="J35" s="38" t="s">
        <v>448</v>
      </c>
      <c r="K35" s="38" t="s">
        <v>799</v>
      </c>
    </row>
    <row r="36" spans="10:11" x14ac:dyDescent="0.3">
      <c r="J36" s="38" t="s">
        <v>436</v>
      </c>
      <c r="K36" s="38" t="s">
        <v>799</v>
      </c>
    </row>
    <row r="37" spans="10:11" x14ac:dyDescent="0.3">
      <c r="J37" s="38" t="s">
        <v>425</v>
      </c>
      <c r="K37" s="38" t="s">
        <v>799</v>
      </c>
    </row>
    <row r="38" spans="10:11" x14ac:dyDescent="0.3">
      <c r="J38" s="38" t="s">
        <v>414</v>
      </c>
      <c r="K38" s="38" t="s">
        <v>800</v>
      </c>
    </row>
    <row r="39" spans="10:11" x14ac:dyDescent="0.3">
      <c r="J39" s="38" t="s">
        <v>399</v>
      </c>
      <c r="K39" s="38" t="s">
        <v>799</v>
      </c>
    </row>
  </sheetData>
  <phoneticPr fontId="5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9" tint="0.79998168889431442"/>
  </sheetPr>
  <dimension ref="A1:K372"/>
  <sheetViews>
    <sheetView showGridLines="0" workbookViewId="0"/>
  </sheetViews>
  <sheetFormatPr defaultRowHeight="15" x14ac:dyDescent="0.3"/>
  <cols>
    <col min="1" max="12" width="12.7109375" customWidth="1"/>
  </cols>
  <sheetData>
    <row r="1" spans="1:11" s="23" customFormat="1" ht="21.75" x14ac:dyDescent="0.45">
      <c r="A1" s="78" t="s">
        <v>246</v>
      </c>
      <c r="B1" s="25"/>
      <c r="C1" s="25"/>
      <c r="E1" s="24"/>
    </row>
    <row r="2" spans="1:11" s="23" customFormat="1" ht="19.5" x14ac:dyDescent="0.3">
      <c r="A2" s="5"/>
      <c r="B2" s="25"/>
      <c r="C2" s="25"/>
      <c r="E2" s="24"/>
    </row>
    <row r="3" spans="1:11" s="23" customFormat="1" ht="19.5" x14ac:dyDescent="0.3">
      <c r="A3" s="5"/>
      <c r="B3" s="25"/>
      <c r="C3" s="25"/>
      <c r="E3" s="24"/>
    </row>
    <row r="4" spans="1:11" ht="18.75" customHeight="1" x14ac:dyDescent="0.4">
      <c r="B4" s="6" t="s">
        <v>863</v>
      </c>
    </row>
    <row r="6" spans="1:11" x14ac:dyDescent="0.3">
      <c r="B6" s="5" t="s">
        <v>860</v>
      </c>
      <c r="J6" s="5" t="s">
        <v>861</v>
      </c>
    </row>
    <row r="7" spans="1:11" x14ac:dyDescent="0.3">
      <c r="B7" s="36" t="s">
        <v>394</v>
      </c>
      <c r="C7" s="36" t="s">
        <v>395</v>
      </c>
      <c r="D7" s="36" t="s">
        <v>396</v>
      </c>
      <c r="E7" s="36" t="s">
        <v>796</v>
      </c>
      <c r="F7" s="36" t="s">
        <v>797</v>
      </c>
      <c r="G7" s="37" t="s">
        <v>853</v>
      </c>
      <c r="J7" s="39" t="s">
        <v>396</v>
      </c>
      <c r="K7" s="39" t="s">
        <v>798</v>
      </c>
    </row>
    <row r="8" spans="1:11" x14ac:dyDescent="0.3">
      <c r="B8" s="38" t="s">
        <v>397</v>
      </c>
      <c r="C8" s="38" t="s">
        <v>398</v>
      </c>
      <c r="D8" s="38" t="s">
        <v>399</v>
      </c>
      <c r="E8" s="38">
        <v>67</v>
      </c>
      <c r="F8" s="38">
        <v>950</v>
      </c>
      <c r="G8" s="38"/>
      <c r="J8" s="38" t="s">
        <v>785</v>
      </c>
      <c r="K8" s="38" t="s">
        <v>799</v>
      </c>
    </row>
    <row r="9" spans="1:11" x14ac:dyDescent="0.3">
      <c r="B9" s="38" t="s">
        <v>400</v>
      </c>
      <c r="C9" s="38" t="s">
        <v>398</v>
      </c>
      <c r="D9" s="38" t="s">
        <v>399</v>
      </c>
      <c r="E9" s="38">
        <v>68</v>
      </c>
      <c r="F9" s="38">
        <v>853</v>
      </c>
      <c r="G9" s="38"/>
      <c r="J9" s="38" t="s">
        <v>774</v>
      </c>
      <c r="K9" s="38" t="s">
        <v>799</v>
      </c>
    </row>
    <row r="10" spans="1:11" x14ac:dyDescent="0.3">
      <c r="B10" s="38" t="s">
        <v>401</v>
      </c>
      <c r="C10" s="38" t="s">
        <v>398</v>
      </c>
      <c r="D10" s="38" t="s">
        <v>399</v>
      </c>
      <c r="E10" s="38">
        <v>28</v>
      </c>
      <c r="F10" s="38">
        <v>355</v>
      </c>
      <c r="G10" s="38"/>
      <c r="J10" s="38" t="s">
        <v>762</v>
      </c>
      <c r="K10" s="38" t="s">
        <v>800</v>
      </c>
    </row>
    <row r="11" spans="1:11" x14ac:dyDescent="0.3">
      <c r="B11" s="38" t="s">
        <v>402</v>
      </c>
      <c r="C11" s="38" t="s">
        <v>398</v>
      </c>
      <c r="D11" s="38" t="s">
        <v>399</v>
      </c>
      <c r="E11" s="38">
        <v>21</v>
      </c>
      <c r="F11" s="38">
        <v>256</v>
      </c>
      <c r="G11" s="38"/>
      <c r="J11" s="38" t="s">
        <v>751</v>
      </c>
      <c r="K11" s="38" t="s">
        <v>800</v>
      </c>
    </row>
    <row r="12" spans="1:11" x14ac:dyDescent="0.3">
      <c r="B12" s="38" t="s">
        <v>403</v>
      </c>
      <c r="C12" s="38" t="s">
        <v>398</v>
      </c>
      <c r="D12" s="38" t="s">
        <v>399</v>
      </c>
      <c r="E12" s="38">
        <v>26</v>
      </c>
      <c r="F12" s="38">
        <v>275</v>
      </c>
      <c r="G12" s="38"/>
      <c r="J12" s="38" t="s">
        <v>739</v>
      </c>
      <c r="K12" s="38" t="s">
        <v>799</v>
      </c>
    </row>
    <row r="13" spans="1:11" x14ac:dyDescent="0.3">
      <c r="B13" s="38" t="s">
        <v>404</v>
      </c>
      <c r="C13" s="38" t="s">
        <v>398</v>
      </c>
      <c r="D13" s="38" t="s">
        <v>399</v>
      </c>
      <c r="E13" s="38">
        <v>14</v>
      </c>
      <c r="F13" s="38">
        <v>158</v>
      </c>
      <c r="G13" s="38"/>
      <c r="J13" s="38" t="s">
        <v>726</v>
      </c>
      <c r="K13" s="38" t="s">
        <v>799</v>
      </c>
    </row>
    <row r="14" spans="1:11" x14ac:dyDescent="0.3">
      <c r="B14" s="38" t="s">
        <v>405</v>
      </c>
      <c r="C14" s="38" t="s">
        <v>398</v>
      </c>
      <c r="D14" s="38" t="s">
        <v>399</v>
      </c>
      <c r="E14" s="38">
        <v>2</v>
      </c>
      <c r="F14" s="38">
        <v>25</v>
      </c>
      <c r="G14" s="38"/>
      <c r="J14" s="38" t="s">
        <v>713</v>
      </c>
      <c r="K14" s="38" t="s">
        <v>800</v>
      </c>
    </row>
    <row r="15" spans="1:11" x14ac:dyDescent="0.3">
      <c r="B15" s="38" t="s">
        <v>406</v>
      </c>
      <c r="C15" s="38" t="s">
        <v>407</v>
      </c>
      <c r="D15" s="38" t="s">
        <v>399</v>
      </c>
      <c r="E15" s="38">
        <v>45</v>
      </c>
      <c r="F15" s="38">
        <v>408</v>
      </c>
      <c r="G15" s="38"/>
      <c r="J15" s="38" t="s">
        <v>702</v>
      </c>
      <c r="K15" s="38" t="s">
        <v>800</v>
      </c>
    </row>
    <row r="16" spans="1:11" x14ac:dyDescent="0.3">
      <c r="B16" s="38" t="s">
        <v>408</v>
      </c>
      <c r="C16" s="38" t="s">
        <v>407</v>
      </c>
      <c r="D16" s="38" t="s">
        <v>399</v>
      </c>
      <c r="E16" s="38">
        <v>8</v>
      </c>
      <c r="F16" s="38">
        <v>83</v>
      </c>
      <c r="G16" s="38"/>
      <c r="J16" s="38" t="s">
        <v>690</v>
      </c>
      <c r="K16" s="38" t="s">
        <v>799</v>
      </c>
    </row>
    <row r="17" spans="2:11" x14ac:dyDescent="0.3">
      <c r="B17" s="38" t="s">
        <v>409</v>
      </c>
      <c r="C17" s="38" t="s">
        <v>407</v>
      </c>
      <c r="D17" s="38" t="s">
        <v>399</v>
      </c>
      <c r="E17" s="38">
        <v>5</v>
      </c>
      <c r="F17" s="38">
        <v>52</v>
      </c>
      <c r="G17" s="38"/>
      <c r="J17" s="38" t="s">
        <v>678</v>
      </c>
      <c r="K17" s="38" t="s">
        <v>800</v>
      </c>
    </row>
    <row r="18" spans="2:11" x14ac:dyDescent="0.3">
      <c r="B18" s="38" t="s">
        <v>410</v>
      </c>
      <c r="C18" s="38" t="s">
        <v>407</v>
      </c>
      <c r="D18" s="38" t="s">
        <v>399</v>
      </c>
      <c r="E18" s="38">
        <v>6</v>
      </c>
      <c r="F18" s="38">
        <v>58</v>
      </c>
      <c r="G18" s="38"/>
      <c r="J18" s="38" t="s">
        <v>664</v>
      </c>
      <c r="K18" s="38" t="s">
        <v>799</v>
      </c>
    </row>
    <row r="19" spans="2:11" x14ac:dyDescent="0.3">
      <c r="B19" s="38" t="s">
        <v>411</v>
      </c>
      <c r="C19" s="38" t="s">
        <v>407</v>
      </c>
      <c r="D19" s="38" t="s">
        <v>399</v>
      </c>
      <c r="E19" s="38">
        <v>2</v>
      </c>
      <c r="F19" s="38">
        <v>29</v>
      </c>
      <c r="G19" s="38"/>
      <c r="J19" s="38" t="s">
        <v>651</v>
      </c>
      <c r="K19" s="38" t="s">
        <v>799</v>
      </c>
    </row>
    <row r="20" spans="2:11" x14ac:dyDescent="0.3">
      <c r="B20" s="38" t="s">
        <v>412</v>
      </c>
      <c r="C20" s="38" t="s">
        <v>407</v>
      </c>
      <c r="D20" s="38" t="s">
        <v>399</v>
      </c>
      <c r="E20" s="38">
        <v>2</v>
      </c>
      <c r="F20" s="38">
        <v>21</v>
      </c>
      <c r="G20" s="38"/>
      <c r="J20" s="38" t="s">
        <v>639</v>
      </c>
      <c r="K20" s="38" t="s">
        <v>800</v>
      </c>
    </row>
    <row r="21" spans="2:11" x14ac:dyDescent="0.3">
      <c r="B21" s="38" t="s">
        <v>413</v>
      </c>
      <c r="C21" s="38" t="s">
        <v>398</v>
      </c>
      <c r="D21" s="38" t="s">
        <v>414</v>
      </c>
      <c r="E21" s="38">
        <v>72</v>
      </c>
      <c r="F21" s="38">
        <v>1114</v>
      </c>
      <c r="G21" s="38"/>
      <c r="J21" s="38" t="s">
        <v>627</v>
      </c>
      <c r="K21" s="38" t="s">
        <v>800</v>
      </c>
    </row>
    <row r="22" spans="2:11" x14ac:dyDescent="0.3">
      <c r="B22" s="38" t="s">
        <v>415</v>
      </c>
      <c r="C22" s="38" t="s">
        <v>398</v>
      </c>
      <c r="D22" s="38" t="s">
        <v>414</v>
      </c>
      <c r="E22" s="38">
        <v>55</v>
      </c>
      <c r="F22" s="38">
        <v>852</v>
      </c>
      <c r="G22" s="38"/>
      <c r="J22" s="38" t="s">
        <v>614</v>
      </c>
      <c r="K22" s="38" t="s">
        <v>800</v>
      </c>
    </row>
    <row r="23" spans="2:11" x14ac:dyDescent="0.3">
      <c r="B23" s="38" t="s">
        <v>416</v>
      </c>
      <c r="C23" s="38" t="s">
        <v>398</v>
      </c>
      <c r="D23" s="38" t="s">
        <v>414</v>
      </c>
      <c r="E23" s="38">
        <v>38</v>
      </c>
      <c r="F23" s="38">
        <v>436</v>
      </c>
      <c r="G23" s="38"/>
      <c r="J23" s="38" t="s">
        <v>601</v>
      </c>
      <c r="K23" s="38" t="s">
        <v>800</v>
      </c>
    </row>
    <row r="24" spans="2:11" x14ac:dyDescent="0.3">
      <c r="B24" s="38" t="s">
        <v>417</v>
      </c>
      <c r="C24" s="38" t="s">
        <v>398</v>
      </c>
      <c r="D24" s="38" t="s">
        <v>414</v>
      </c>
      <c r="E24" s="38">
        <v>32</v>
      </c>
      <c r="F24" s="38">
        <v>393</v>
      </c>
      <c r="G24" s="38"/>
      <c r="J24" s="38" t="s">
        <v>588</v>
      </c>
      <c r="K24" s="38" t="s">
        <v>800</v>
      </c>
    </row>
    <row r="25" spans="2:11" x14ac:dyDescent="0.3">
      <c r="B25" s="38" t="s">
        <v>418</v>
      </c>
      <c r="C25" s="38" t="s">
        <v>398</v>
      </c>
      <c r="D25" s="38" t="s">
        <v>414</v>
      </c>
      <c r="E25" s="38">
        <v>11</v>
      </c>
      <c r="F25" s="38">
        <v>94</v>
      </c>
      <c r="G25" s="38"/>
      <c r="J25" s="38" t="s">
        <v>574</v>
      </c>
      <c r="K25" s="38" t="s">
        <v>799</v>
      </c>
    </row>
    <row r="26" spans="2:11" x14ac:dyDescent="0.3">
      <c r="B26" s="38" t="s">
        <v>419</v>
      </c>
      <c r="C26" s="38" t="s">
        <v>407</v>
      </c>
      <c r="D26" s="38" t="s">
        <v>414</v>
      </c>
      <c r="E26" s="38">
        <v>43</v>
      </c>
      <c r="F26" s="38">
        <v>411</v>
      </c>
      <c r="G26" s="38"/>
      <c r="J26" s="38" t="s">
        <v>561</v>
      </c>
      <c r="K26" s="38" t="s">
        <v>800</v>
      </c>
    </row>
    <row r="27" spans="2:11" x14ac:dyDescent="0.3">
      <c r="B27" s="38" t="s">
        <v>420</v>
      </c>
      <c r="C27" s="38" t="s">
        <v>407</v>
      </c>
      <c r="D27" s="38" t="s">
        <v>414</v>
      </c>
      <c r="E27" s="38">
        <v>38</v>
      </c>
      <c r="F27" s="38">
        <v>335</v>
      </c>
      <c r="G27" s="38"/>
      <c r="J27" s="38" t="s">
        <v>548</v>
      </c>
      <c r="K27" s="38" t="s">
        <v>799</v>
      </c>
    </row>
    <row r="28" spans="2:11" x14ac:dyDescent="0.3">
      <c r="B28" s="38" t="s">
        <v>421</v>
      </c>
      <c r="C28" s="38" t="s">
        <v>407</v>
      </c>
      <c r="D28" s="38" t="s">
        <v>414</v>
      </c>
      <c r="E28" s="38">
        <v>9</v>
      </c>
      <c r="F28" s="38">
        <v>84</v>
      </c>
      <c r="G28" s="38"/>
      <c r="J28" s="38" t="s">
        <v>535</v>
      </c>
      <c r="K28" s="38" t="s">
        <v>799</v>
      </c>
    </row>
    <row r="29" spans="2:11" x14ac:dyDescent="0.3">
      <c r="B29" s="38" t="s">
        <v>422</v>
      </c>
      <c r="C29" s="38" t="s">
        <v>407</v>
      </c>
      <c r="D29" s="38" t="s">
        <v>414</v>
      </c>
      <c r="E29" s="38">
        <v>0</v>
      </c>
      <c r="F29" s="38">
        <v>0</v>
      </c>
      <c r="G29" s="38"/>
      <c r="J29" s="38" t="s">
        <v>524</v>
      </c>
      <c r="K29" s="38" t="s">
        <v>800</v>
      </c>
    </row>
    <row r="30" spans="2:11" x14ac:dyDescent="0.3">
      <c r="B30" s="38" t="s">
        <v>423</v>
      </c>
      <c r="C30" s="38" t="s">
        <v>407</v>
      </c>
      <c r="D30" s="38" t="s">
        <v>414</v>
      </c>
      <c r="E30" s="38">
        <v>0</v>
      </c>
      <c r="F30" s="38">
        <v>0</v>
      </c>
      <c r="G30" s="38"/>
      <c r="J30" s="38" t="s">
        <v>510</v>
      </c>
      <c r="K30" s="38" t="s">
        <v>800</v>
      </c>
    </row>
    <row r="31" spans="2:11" x14ac:dyDescent="0.3">
      <c r="B31" s="38" t="s">
        <v>424</v>
      </c>
      <c r="C31" s="38" t="s">
        <v>398</v>
      </c>
      <c r="D31" s="38" t="s">
        <v>425</v>
      </c>
      <c r="E31" s="38">
        <v>84</v>
      </c>
      <c r="F31" s="38">
        <v>1253</v>
      </c>
      <c r="G31" s="38"/>
      <c r="J31" s="38" t="s">
        <v>499</v>
      </c>
      <c r="K31" s="38" t="s">
        <v>799</v>
      </c>
    </row>
    <row r="32" spans="2:11" x14ac:dyDescent="0.3">
      <c r="B32" s="38" t="s">
        <v>426</v>
      </c>
      <c r="C32" s="38" t="s">
        <v>398</v>
      </c>
      <c r="D32" s="38" t="s">
        <v>425</v>
      </c>
      <c r="E32" s="38">
        <v>54</v>
      </c>
      <c r="F32" s="38">
        <v>831</v>
      </c>
      <c r="G32" s="38"/>
      <c r="J32" s="38" t="s">
        <v>487</v>
      </c>
      <c r="K32" s="38" t="s">
        <v>800</v>
      </c>
    </row>
    <row r="33" spans="2:11" x14ac:dyDescent="0.3">
      <c r="B33" s="38" t="s">
        <v>427</v>
      </c>
      <c r="C33" s="38" t="s">
        <v>398</v>
      </c>
      <c r="D33" s="38" t="s">
        <v>425</v>
      </c>
      <c r="E33" s="38">
        <v>47</v>
      </c>
      <c r="F33" s="38">
        <v>501</v>
      </c>
      <c r="G33" s="38"/>
      <c r="J33" s="38" t="s">
        <v>475</v>
      </c>
      <c r="K33" s="38" t="s">
        <v>800</v>
      </c>
    </row>
    <row r="34" spans="2:11" x14ac:dyDescent="0.3">
      <c r="B34" s="38" t="s">
        <v>428</v>
      </c>
      <c r="C34" s="38" t="s">
        <v>398</v>
      </c>
      <c r="D34" s="38" t="s">
        <v>425</v>
      </c>
      <c r="E34" s="38">
        <v>2</v>
      </c>
      <c r="F34" s="38">
        <v>19</v>
      </c>
      <c r="G34" s="38"/>
      <c r="J34" s="38" t="s">
        <v>462</v>
      </c>
      <c r="K34" s="38" t="s">
        <v>799</v>
      </c>
    </row>
    <row r="35" spans="2:11" x14ac:dyDescent="0.3">
      <c r="B35" s="38" t="s">
        <v>429</v>
      </c>
      <c r="C35" s="38" t="s">
        <v>398</v>
      </c>
      <c r="D35" s="38" t="s">
        <v>425</v>
      </c>
      <c r="E35" s="38">
        <v>0</v>
      </c>
      <c r="F35" s="38">
        <v>0</v>
      </c>
      <c r="G35" s="38"/>
      <c r="J35" s="38" t="s">
        <v>448</v>
      </c>
      <c r="K35" s="38" t="s">
        <v>799</v>
      </c>
    </row>
    <row r="36" spans="2:11" x14ac:dyDescent="0.3">
      <c r="B36" s="38" t="s">
        <v>430</v>
      </c>
      <c r="C36" s="38" t="s">
        <v>407</v>
      </c>
      <c r="D36" s="38" t="s">
        <v>425</v>
      </c>
      <c r="E36" s="38">
        <v>28</v>
      </c>
      <c r="F36" s="38">
        <v>245</v>
      </c>
      <c r="G36" s="38"/>
      <c r="J36" s="38" t="s">
        <v>436</v>
      </c>
      <c r="K36" s="38" t="s">
        <v>799</v>
      </c>
    </row>
    <row r="37" spans="2:11" x14ac:dyDescent="0.3">
      <c r="B37" s="38" t="s">
        <v>431</v>
      </c>
      <c r="C37" s="38" t="s">
        <v>407</v>
      </c>
      <c r="D37" s="38" t="s">
        <v>425</v>
      </c>
      <c r="E37" s="38">
        <v>17</v>
      </c>
      <c r="F37" s="38">
        <v>189</v>
      </c>
      <c r="G37" s="38"/>
      <c r="J37" s="38" t="s">
        <v>425</v>
      </c>
      <c r="K37" s="38" t="s">
        <v>799</v>
      </c>
    </row>
    <row r="38" spans="2:11" x14ac:dyDescent="0.3">
      <c r="B38" s="38" t="s">
        <v>432</v>
      </c>
      <c r="C38" s="38" t="s">
        <v>407</v>
      </c>
      <c r="D38" s="38" t="s">
        <v>425</v>
      </c>
      <c r="E38" s="38">
        <v>7</v>
      </c>
      <c r="F38" s="38">
        <v>56</v>
      </c>
      <c r="G38" s="38"/>
      <c r="J38" s="38" t="s">
        <v>414</v>
      </c>
      <c r="K38" s="38" t="s">
        <v>800</v>
      </c>
    </row>
    <row r="39" spans="2:11" x14ac:dyDescent="0.3">
      <c r="B39" s="38" t="s">
        <v>433</v>
      </c>
      <c r="C39" s="38" t="s">
        <v>407</v>
      </c>
      <c r="D39" s="38" t="s">
        <v>425</v>
      </c>
      <c r="E39" s="38">
        <v>4</v>
      </c>
      <c r="F39" s="38">
        <v>40</v>
      </c>
      <c r="G39" s="38"/>
      <c r="J39" s="38" t="s">
        <v>399</v>
      </c>
      <c r="K39" s="38" t="s">
        <v>799</v>
      </c>
    </row>
    <row r="40" spans="2:11" x14ac:dyDescent="0.3">
      <c r="B40" s="38" t="s">
        <v>434</v>
      </c>
      <c r="C40" s="38" t="s">
        <v>407</v>
      </c>
      <c r="D40" s="38" t="s">
        <v>425</v>
      </c>
      <c r="E40" s="38">
        <v>2</v>
      </c>
      <c r="F40" s="38">
        <v>23</v>
      </c>
      <c r="G40" s="38"/>
    </row>
    <row r="41" spans="2:11" x14ac:dyDescent="0.3">
      <c r="B41" s="38" t="s">
        <v>435</v>
      </c>
      <c r="C41" s="38" t="s">
        <v>398</v>
      </c>
      <c r="D41" s="38" t="s">
        <v>436</v>
      </c>
      <c r="E41" s="38">
        <v>96</v>
      </c>
      <c r="F41" s="38">
        <v>1384</v>
      </c>
      <c r="G41" s="38"/>
    </row>
    <row r="42" spans="2:11" x14ac:dyDescent="0.3">
      <c r="B42" s="38" t="s">
        <v>437</v>
      </c>
      <c r="C42" s="38" t="s">
        <v>398</v>
      </c>
      <c r="D42" s="38" t="s">
        <v>436</v>
      </c>
      <c r="E42" s="38">
        <v>75</v>
      </c>
      <c r="F42" s="38">
        <v>1060</v>
      </c>
      <c r="G42" s="38"/>
    </row>
    <row r="43" spans="2:11" x14ac:dyDescent="0.3">
      <c r="B43" s="38" t="s">
        <v>438</v>
      </c>
      <c r="C43" s="38" t="s">
        <v>398</v>
      </c>
      <c r="D43" s="38" t="s">
        <v>436</v>
      </c>
      <c r="E43" s="38">
        <v>60</v>
      </c>
      <c r="F43" s="38">
        <v>727</v>
      </c>
      <c r="G43" s="38"/>
    </row>
    <row r="44" spans="2:11" x14ac:dyDescent="0.3">
      <c r="B44" s="38" t="s">
        <v>439</v>
      </c>
      <c r="C44" s="38" t="s">
        <v>398</v>
      </c>
      <c r="D44" s="38" t="s">
        <v>436</v>
      </c>
      <c r="E44" s="38">
        <v>41</v>
      </c>
      <c r="F44" s="38">
        <v>473</v>
      </c>
      <c r="G44" s="38"/>
    </row>
    <row r="45" spans="2:11" x14ac:dyDescent="0.3">
      <c r="B45" s="38" t="s">
        <v>440</v>
      </c>
      <c r="C45" s="38" t="s">
        <v>398</v>
      </c>
      <c r="D45" s="38" t="s">
        <v>436</v>
      </c>
      <c r="E45" s="38">
        <v>17</v>
      </c>
      <c r="F45" s="38">
        <v>192</v>
      </c>
      <c r="G45" s="38"/>
    </row>
    <row r="46" spans="2:11" x14ac:dyDescent="0.3">
      <c r="B46" s="38" t="s">
        <v>441</v>
      </c>
      <c r="C46" s="38" t="s">
        <v>398</v>
      </c>
      <c r="D46" s="38" t="s">
        <v>436</v>
      </c>
      <c r="E46" s="38">
        <v>10</v>
      </c>
      <c r="F46" s="38">
        <v>98</v>
      </c>
      <c r="G46" s="38"/>
    </row>
    <row r="47" spans="2:11" x14ac:dyDescent="0.3">
      <c r="B47" s="38" t="s">
        <v>442</v>
      </c>
      <c r="C47" s="38" t="s">
        <v>407</v>
      </c>
      <c r="D47" s="38" t="s">
        <v>436</v>
      </c>
      <c r="E47" s="38">
        <v>18</v>
      </c>
      <c r="F47" s="38">
        <v>190</v>
      </c>
      <c r="G47" s="38"/>
    </row>
    <row r="48" spans="2:11" x14ac:dyDescent="0.3">
      <c r="B48" s="38" t="s">
        <v>443</v>
      </c>
      <c r="C48" s="38" t="s">
        <v>407</v>
      </c>
      <c r="D48" s="38" t="s">
        <v>436</v>
      </c>
      <c r="E48" s="38">
        <v>4</v>
      </c>
      <c r="F48" s="38">
        <v>28</v>
      </c>
      <c r="G48" s="38"/>
    </row>
    <row r="49" spans="2:7" x14ac:dyDescent="0.3">
      <c r="B49" s="38" t="s">
        <v>444</v>
      </c>
      <c r="C49" s="38" t="s">
        <v>407</v>
      </c>
      <c r="D49" s="38" t="s">
        <v>436</v>
      </c>
      <c r="E49" s="38">
        <v>0</v>
      </c>
      <c r="F49" s="38">
        <v>0</v>
      </c>
      <c r="G49" s="38"/>
    </row>
    <row r="50" spans="2:7" x14ac:dyDescent="0.3">
      <c r="B50" s="38" t="s">
        <v>445</v>
      </c>
      <c r="C50" s="38" t="s">
        <v>407</v>
      </c>
      <c r="D50" s="38" t="s">
        <v>436</v>
      </c>
      <c r="E50" s="38">
        <v>0</v>
      </c>
      <c r="F50" s="38">
        <v>0</v>
      </c>
      <c r="G50" s="38"/>
    </row>
    <row r="51" spans="2:7" x14ac:dyDescent="0.3">
      <c r="B51" s="38" t="s">
        <v>446</v>
      </c>
      <c r="C51" s="38" t="s">
        <v>407</v>
      </c>
      <c r="D51" s="38" t="s">
        <v>436</v>
      </c>
      <c r="E51" s="38">
        <v>0</v>
      </c>
      <c r="F51" s="38">
        <v>0</v>
      </c>
      <c r="G51" s="38"/>
    </row>
    <row r="52" spans="2:7" x14ac:dyDescent="0.3">
      <c r="B52" s="38" t="s">
        <v>447</v>
      </c>
      <c r="C52" s="38" t="s">
        <v>398</v>
      </c>
      <c r="D52" s="38" t="s">
        <v>448</v>
      </c>
      <c r="E52" s="38">
        <v>68</v>
      </c>
      <c r="F52" s="38">
        <v>935</v>
      </c>
      <c r="G52" s="38"/>
    </row>
    <row r="53" spans="2:7" x14ac:dyDescent="0.3">
      <c r="B53" s="38" t="s">
        <v>449</v>
      </c>
      <c r="C53" s="38" t="s">
        <v>398</v>
      </c>
      <c r="D53" s="38" t="s">
        <v>448</v>
      </c>
      <c r="E53" s="38">
        <v>54</v>
      </c>
      <c r="F53" s="38">
        <v>703</v>
      </c>
      <c r="G53" s="38"/>
    </row>
    <row r="54" spans="2:7" x14ac:dyDescent="0.3">
      <c r="B54" s="38" t="s">
        <v>450</v>
      </c>
      <c r="C54" s="38" t="s">
        <v>398</v>
      </c>
      <c r="D54" s="38" t="s">
        <v>448</v>
      </c>
      <c r="E54" s="38">
        <v>44</v>
      </c>
      <c r="F54" s="38">
        <v>468</v>
      </c>
      <c r="G54" s="38"/>
    </row>
    <row r="55" spans="2:7" x14ac:dyDescent="0.3">
      <c r="B55" s="38" t="s">
        <v>451</v>
      </c>
      <c r="C55" s="38" t="s">
        <v>398</v>
      </c>
      <c r="D55" s="38" t="s">
        <v>448</v>
      </c>
      <c r="E55" s="38">
        <v>31</v>
      </c>
      <c r="F55" s="38">
        <v>336</v>
      </c>
      <c r="G55" s="38"/>
    </row>
    <row r="56" spans="2:7" x14ac:dyDescent="0.3">
      <c r="B56" s="38" t="s">
        <v>452</v>
      </c>
      <c r="C56" s="38" t="s">
        <v>398</v>
      </c>
      <c r="D56" s="38" t="s">
        <v>448</v>
      </c>
      <c r="E56" s="38">
        <v>6</v>
      </c>
      <c r="F56" s="38">
        <v>83</v>
      </c>
      <c r="G56" s="38"/>
    </row>
    <row r="57" spans="2:7" x14ac:dyDescent="0.3">
      <c r="B57" s="38" t="s">
        <v>453</v>
      </c>
      <c r="C57" s="38" t="s">
        <v>398</v>
      </c>
      <c r="D57" s="38" t="s">
        <v>448</v>
      </c>
      <c r="E57" s="38">
        <v>9</v>
      </c>
      <c r="F57" s="38">
        <v>74</v>
      </c>
      <c r="G57" s="38"/>
    </row>
    <row r="58" spans="2:7" x14ac:dyDescent="0.3">
      <c r="B58" s="38" t="s">
        <v>454</v>
      </c>
      <c r="C58" s="38" t="s">
        <v>398</v>
      </c>
      <c r="D58" s="38" t="s">
        <v>448</v>
      </c>
      <c r="E58" s="38">
        <v>4</v>
      </c>
      <c r="F58" s="38">
        <v>38</v>
      </c>
      <c r="G58" s="38"/>
    </row>
    <row r="59" spans="2:7" x14ac:dyDescent="0.3">
      <c r="B59" s="38" t="s">
        <v>455</v>
      </c>
      <c r="C59" s="38" t="s">
        <v>398</v>
      </c>
      <c r="D59" s="38" t="s">
        <v>448</v>
      </c>
      <c r="E59" s="38">
        <v>2</v>
      </c>
      <c r="F59" s="38">
        <v>12</v>
      </c>
      <c r="G59" s="38"/>
    </row>
    <row r="60" spans="2:7" x14ac:dyDescent="0.3">
      <c r="B60" s="38" t="s">
        <v>456</v>
      </c>
      <c r="C60" s="38" t="s">
        <v>407</v>
      </c>
      <c r="D60" s="38" t="s">
        <v>448</v>
      </c>
      <c r="E60" s="38">
        <v>66</v>
      </c>
      <c r="F60" s="38">
        <v>649</v>
      </c>
      <c r="G60" s="38"/>
    </row>
    <row r="61" spans="2:7" x14ac:dyDescent="0.3">
      <c r="B61" s="38" t="s">
        <v>457</v>
      </c>
      <c r="C61" s="38" t="s">
        <v>407</v>
      </c>
      <c r="D61" s="38" t="s">
        <v>448</v>
      </c>
      <c r="E61" s="38">
        <v>12</v>
      </c>
      <c r="F61" s="38">
        <v>74</v>
      </c>
      <c r="G61" s="38"/>
    </row>
    <row r="62" spans="2:7" x14ac:dyDescent="0.3">
      <c r="B62" s="38" t="s">
        <v>458</v>
      </c>
      <c r="C62" s="38" t="s">
        <v>407</v>
      </c>
      <c r="D62" s="38" t="s">
        <v>448</v>
      </c>
      <c r="E62" s="38">
        <v>9</v>
      </c>
      <c r="F62" s="38">
        <v>111</v>
      </c>
      <c r="G62" s="38"/>
    </row>
    <row r="63" spans="2:7" x14ac:dyDescent="0.3">
      <c r="B63" s="38" t="s">
        <v>459</v>
      </c>
      <c r="C63" s="38" t="s">
        <v>407</v>
      </c>
      <c r="D63" s="38" t="s">
        <v>448</v>
      </c>
      <c r="E63" s="38">
        <v>0</v>
      </c>
      <c r="F63" s="38">
        <v>0</v>
      </c>
      <c r="G63" s="38"/>
    </row>
    <row r="64" spans="2:7" x14ac:dyDescent="0.3">
      <c r="B64" s="38" t="s">
        <v>460</v>
      </c>
      <c r="C64" s="38" t="s">
        <v>407</v>
      </c>
      <c r="D64" s="38" t="s">
        <v>448</v>
      </c>
      <c r="E64" s="38">
        <v>0</v>
      </c>
      <c r="F64" s="38">
        <v>0</v>
      </c>
      <c r="G64" s="38"/>
    </row>
    <row r="65" spans="2:7" x14ac:dyDescent="0.3">
      <c r="B65" s="38" t="s">
        <v>461</v>
      </c>
      <c r="C65" s="38" t="s">
        <v>398</v>
      </c>
      <c r="D65" s="38" t="s">
        <v>462</v>
      </c>
      <c r="E65" s="38">
        <v>83</v>
      </c>
      <c r="F65" s="38">
        <v>1232</v>
      </c>
      <c r="G65" s="38"/>
    </row>
    <row r="66" spans="2:7" x14ac:dyDescent="0.3">
      <c r="B66" s="38" t="s">
        <v>463</v>
      </c>
      <c r="C66" s="38" t="s">
        <v>398</v>
      </c>
      <c r="D66" s="38" t="s">
        <v>462</v>
      </c>
      <c r="E66" s="38">
        <v>51</v>
      </c>
      <c r="F66" s="38">
        <v>645</v>
      </c>
      <c r="G66" s="38"/>
    </row>
    <row r="67" spans="2:7" x14ac:dyDescent="0.3">
      <c r="B67" s="38" t="s">
        <v>464</v>
      </c>
      <c r="C67" s="38" t="s">
        <v>398</v>
      </c>
      <c r="D67" s="38" t="s">
        <v>462</v>
      </c>
      <c r="E67" s="38">
        <v>32</v>
      </c>
      <c r="F67" s="38">
        <v>449</v>
      </c>
      <c r="G67" s="38"/>
    </row>
    <row r="68" spans="2:7" x14ac:dyDescent="0.3">
      <c r="B68" s="38" t="s">
        <v>465</v>
      </c>
      <c r="C68" s="38" t="s">
        <v>398</v>
      </c>
      <c r="D68" s="38" t="s">
        <v>462</v>
      </c>
      <c r="E68" s="38">
        <v>35</v>
      </c>
      <c r="F68" s="38">
        <v>439</v>
      </c>
      <c r="G68" s="38"/>
    </row>
    <row r="69" spans="2:7" x14ac:dyDescent="0.3">
      <c r="B69" s="38" t="s">
        <v>466</v>
      </c>
      <c r="C69" s="38" t="s">
        <v>398</v>
      </c>
      <c r="D69" s="38" t="s">
        <v>462</v>
      </c>
      <c r="E69" s="38">
        <v>36</v>
      </c>
      <c r="F69" s="38">
        <v>422</v>
      </c>
      <c r="G69" s="38"/>
    </row>
    <row r="70" spans="2:7" x14ac:dyDescent="0.3">
      <c r="B70" s="38" t="s">
        <v>467</v>
      </c>
      <c r="C70" s="38" t="s">
        <v>398</v>
      </c>
      <c r="D70" s="38" t="s">
        <v>462</v>
      </c>
      <c r="E70" s="38">
        <v>12</v>
      </c>
      <c r="F70" s="38">
        <v>232</v>
      </c>
      <c r="G70" s="38"/>
    </row>
    <row r="71" spans="2:7" x14ac:dyDescent="0.3">
      <c r="B71" s="38" t="s">
        <v>468</v>
      </c>
      <c r="C71" s="38" t="s">
        <v>398</v>
      </c>
      <c r="D71" s="38" t="s">
        <v>462</v>
      </c>
      <c r="E71" s="38">
        <v>4</v>
      </c>
      <c r="F71" s="38">
        <v>46</v>
      </c>
      <c r="G71" s="38"/>
    </row>
    <row r="72" spans="2:7" x14ac:dyDescent="0.3">
      <c r="B72" s="38" t="s">
        <v>469</v>
      </c>
      <c r="C72" s="38" t="s">
        <v>407</v>
      </c>
      <c r="D72" s="38" t="s">
        <v>462</v>
      </c>
      <c r="E72" s="38">
        <v>38</v>
      </c>
      <c r="F72" s="38">
        <v>397</v>
      </c>
      <c r="G72" s="38"/>
    </row>
    <row r="73" spans="2:7" x14ac:dyDescent="0.3">
      <c r="B73" s="38" t="s">
        <v>470</v>
      </c>
      <c r="C73" s="38" t="s">
        <v>407</v>
      </c>
      <c r="D73" s="38" t="s">
        <v>462</v>
      </c>
      <c r="E73" s="38">
        <v>24</v>
      </c>
      <c r="F73" s="38">
        <v>268</v>
      </c>
      <c r="G73" s="38"/>
    </row>
    <row r="74" spans="2:7" x14ac:dyDescent="0.3">
      <c r="B74" s="38" t="s">
        <v>471</v>
      </c>
      <c r="C74" s="38" t="s">
        <v>407</v>
      </c>
      <c r="D74" s="38" t="s">
        <v>462</v>
      </c>
      <c r="E74" s="38">
        <v>8</v>
      </c>
      <c r="F74" s="38">
        <v>116</v>
      </c>
      <c r="G74" s="38"/>
    </row>
    <row r="75" spans="2:7" x14ac:dyDescent="0.3">
      <c r="B75" s="38" t="s">
        <v>472</v>
      </c>
      <c r="C75" s="38" t="s">
        <v>407</v>
      </c>
      <c r="D75" s="38" t="s">
        <v>462</v>
      </c>
      <c r="E75" s="38">
        <v>0</v>
      </c>
      <c r="F75" s="38">
        <v>0</v>
      </c>
      <c r="G75" s="38"/>
    </row>
    <row r="76" spans="2:7" x14ac:dyDescent="0.3">
      <c r="B76" s="38" t="s">
        <v>473</v>
      </c>
      <c r="C76" s="38" t="s">
        <v>407</v>
      </c>
      <c r="D76" s="38" t="s">
        <v>462</v>
      </c>
      <c r="E76" s="38">
        <v>0</v>
      </c>
      <c r="F76" s="38">
        <v>0</v>
      </c>
      <c r="G76" s="38"/>
    </row>
    <row r="77" spans="2:7" x14ac:dyDescent="0.3">
      <c r="B77" s="38" t="s">
        <v>474</v>
      </c>
      <c r="C77" s="38" t="s">
        <v>398</v>
      </c>
      <c r="D77" s="38" t="s">
        <v>475</v>
      </c>
      <c r="E77" s="38">
        <v>71</v>
      </c>
      <c r="F77" s="38">
        <v>898</v>
      </c>
      <c r="G77" s="38"/>
    </row>
    <row r="78" spans="2:7" x14ac:dyDescent="0.3">
      <c r="B78" s="38" t="s">
        <v>476</v>
      </c>
      <c r="C78" s="38" t="s">
        <v>398</v>
      </c>
      <c r="D78" s="38" t="s">
        <v>475</v>
      </c>
      <c r="E78" s="38">
        <v>51</v>
      </c>
      <c r="F78" s="38">
        <v>796</v>
      </c>
      <c r="G78" s="38"/>
    </row>
    <row r="79" spans="2:7" x14ac:dyDescent="0.3">
      <c r="B79" s="38" t="s">
        <v>477</v>
      </c>
      <c r="C79" s="38" t="s">
        <v>398</v>
      </c>
      <c r="D79" s="38" t="s">
        <v>475</v>
      </c>
      <c r="E79" s="38">
        <v>36</v>
      </c>
      <c r="F79" s="38">
        <v>541</v>
      </c>
      <c r="G79" s="38"/>
    </row>
    <row r="80" spans="2:7" x14ac:dyDescent="0.3">
      <c r="B80" s="38" t="s">
        <v>478</v>
      </c>
      <c r="C80" s="38" t="s">
        <v>398</v>
      </c>
      <c r="D80" s="38" t="s">
        <v>475</v>
      </c>
      <c r="E80" s="38">
        <v>19</v>
      </c>
      <c r="F80" s="38">
        <v>396</v>
      </c>
      <c r="G80" s="38"/>
    </row>
    <row r="81" spans="2:7" x14ac:dyDescent="0.3">
      <c r="B81" s="38" t="s">
        <v>479</v>
      </c>
      <c r="C81" s="38" t="s">
        <v>398</v>
      </c>
      <c r="D81" s="38" t="s">
        <v>475</v>
      </c>
      <c r="E81" s="38">
        <v>11</v>
      </c>
      <c r="F81" s="38">
        <v>123</v>
      </c>
      <c r="G81" s="38"/>
    </row>
    <row r="82" spans="2:7" x14ac:dyDescent="0.3">
      <c r="B82" s="38" t="s">
        <v>480</v>
      </c>
      <c r="C82" s="38" t="s">
        <v>398</v>
      </c>
      <c r="D82" s="38" t="s">
        <v>475</v>
      </c>
      <c r="E82" s="38">
        <v>3</v>
      </c>
      <c r="F82" s="38">
        <v>49</v>
      </c>
      <c r="G82" s="38"/>
    </row>
    <row r="83" spans="2:7" x14ac:dyDescent="0.3">
      <c r="B83" s="38" t="s">
        <v>481</v>
      </c>
      <c r="C83" s="38" t="s">
        <v>407</v>
      </c>
      <c r="D83" s="38" t="s">
        <v>475</v>
      </c>
      <c r="E83" s="38">
        <v>78</v>
      </c>
      <c r="F83" s="38">
        <v>879</v>
      </c>
      <c r="G83" s="38"/>
    </row>
    <row r="84" spans="2:7" x14ac:dyDescent="0.3">
      <c r="B84" s="38" t="s">
        <v>482</v>
      </c>
      <c r="C84" s="38" t="s">
        <v>407</v>
      </c>
      <c r="D84" s="38" t="s">
        <v>475</v>
      </c>
      <c r="E84" s="38">
        <v>6</v>
      </c>
      <c r="F84" s="38">
        <v>89</v>
      </c>
      <c r="G84" s="38"/>
    </row>
    <row r="85" spans="2:7" x14ac:dyDescent="0.3">
      <c r="B85" s="38" t="s">
        <v>483</v>
      </c>
      <c r="C85" s="38" t="s">
        <v>407</v>
      </c>
      <c r="D85" s="38" t="s">
        <v>475</v>
      </c>
      <c r="E85" s="38">
        <v>10</v>
      </c>
      <c r="F85" s="38">
        <v>81</v>
      </c>
      <c r="G85" s="38"/>
    </row>
    <row r="86" spans="2:7" x14ac:dyDescent="0.3">
      <c r="B86" s="38" t="s">
        <v>484</v>
      </c>
      <c r="C86" s="38" t="s">
        <v>407</v>
      </c>
      <c r="D86" s="38" t="s">
        <v>475</v>
      </c>
      <c r="E86" s="38">
        <v>0</v>
      </c>
      <c r="F86" s="38">
        <v>0</v>
      </c>
      <c r="G86" s="38"/>
    </row>
    <row r="87" spans="2:7" x14ac:dyDescent="0.3">
      <c r="B87" s="38" t="s">
        <v>485</v>
      </c>
      <c r="C87" s="38" t="s">
        <v>407</v>
      </c>
      <c r="D87" s="38" t="s">
        <v>475</v>
      </c>
      <c r="E87" s="38">
        <v>0</v>
      </c>
      <c r="F87" s="38">
        <v>0</v>
      </c>
      <c r="G87" s="38"/>
    </row>
    <row r="88" spans="2:7" x14ac:dyDescent="0.3">
      <c r="B88" s="38" t="s">
        <v>486</v>
      </c>
      <c r="C88" s="38" t="s">
        <v>398</v>
      </c>
      <c r="D88" s="38" t="s">
        <v>487</v>
      </c>
      <c r="E88" s="38">
        <v>91</v>
      </c>
      <c r="F88" s="38">
        <v>1107</v>
      </c>
      <c r="G88" s="38"/>
    </row>
    <row r="89" spans="2:7" x14ac:dyDescent="0.3">
      <c r="B89" s="38" t="s">
        <v>488</v>
      </c>
      <c r="C89" s="38" t="s">
        <v>398</v>
      </c>
      <c r="D89" s="38" t="s">
        <v>487</v>
      </c>
      <c r="E89" s="38">
        <v>68</v>
      </c>
      <c r="F89" s="38">
        <v>897</v>
      </c>
      <c r="G89" s="38"/>
    </row>
    <row r="90" spans="2:7" x14ac:dyDescent="0.3">
      <c r="B90" s="38" t="s">
        <v>489</v>
      </c>
      <c r="C90" s="38" t="s">
        <v>398</v>
      </c>
      <c r="D90" s="38" t="s">
        <v>487</v>
      </c>
      <c r="E90" s="38">
        <v>50</v>
      </c>
      <c r="F90" s="38">
        <v>622</v>
      </c>
      <c r="G90" s="38"/>
    </row>
    <row r="91" spans="2:7" x14ac:dyDescent="0.3">
      <c r="B91" s="38" t="s">
        <v>490</v>
      </c>
      <c r="C91" s="38" t="s">
        <v>398</v>
      </c>
      <c r="D91" s="38" t="s">
        <v>487</v>
      </c>
      <c r="E91" s="38">
        <v>12</v>
      </c>
      <c r="F91" s="38">
        <v>144</v>
      </c>
      <c r="G91" s="38"/>
    </row>
    <row r="92" spans="2:7" x14ac:dyDescent="0.3">
      <c r="B92" s="38" t="s">
        <v>491</v>
      </c>
      <c r="C92" s="38" t="s">
        <v>398</v>
      </c>
      <c r="D92" s="38" t="s">
        <v>487</v>
      </c>
      <c r="E92" s="38">
        <v>11</v>
      </c>
      <c r="F92" s="38">
        <v>135</v>
      </c>
      <c r="G92" s="38"/>
    </row>
    <row r="93" spans="2:7" x14ac:dyDescent="0.3">
      <c r="B93" s="38" t="s">
        <v>492</v>
      </c>
      <c r="C93" s="38" t="s">
        <v>398</v>
      </c>
      <c r="D93" s="38" t="s">
        <v>487</v>
      </c>
      <c r="E93" s="38">
        <v>4</v>
      </c>
      <c r="F93" s="38">
        <v>34</v>
      </c>
      <c r="G93" s="38"/>
    </row>
    <row r="94" spans="2:7" x14ac:dyDescent="0.3">
      <c r="B94" s="38" t="s">
        <v>493</v>
      </c>
      <c r="C94" s="38" t="s">
        <v>407</v>
      </c>
      <c r="D94" s="38" t="s">
        <v>487</v>
      </c>
      <c r="E94" s="38">
        <v>38</v>
      </c>
      <c r="F94" s="38">
        <v>373</v>
      </c>
      <c r="G94" s="38"/>
    </row>
    <row r="95" spans="2:7" x14ac:dyDescent="0.3">
      <c r="B95" s="38" t="s">
        <v>494</v>
      </c>
      <c r="C95" s="38" t="s">
        <v>407</v>
      </c>
      <c r="D95" s="38" t="s">
        <v>487</v>
      </c>
      <c r="E95" s="38">
        <v>9</v>
      </c>
      <c r="F95" s="38">
        <v>101</v>
      </c>
      <c r="G95" s="38"/>
    </row>
    <row r="96" spans="2:7" x14ac:dyDescent="0.3">
      <c r="B96" s="38" t="s">
        <v>495</v>
      </c>
      <c r="C96" s="38" t="s">
        <v>407</v>
      </c>
      <c r="D96" s="38" t="s">
        <v>487</v>
      </c>
      <c r="E96" s="38">
        <v>6</v>
      </c>
      <c r="F96" s="38">
        <v>58</v>
      </c>
      <c r="G96" s="38"/>
    </row>
    <row r="97" spans="2:7" x14ac:dyDescent="0.3">
      <c r="B97" s="38" t="s">
        <v>496</v>
      </c>
      <c r="C97" s="38" t="s">
        <v>407</v>
      </c>
      <c r="D97" s="38" t="s">
        <v>487</v>
      </c>
      <c r="E97" s="38">
        <v>1</v>
      </c>
      <c r="F97" s="38">
        <v>9</v>
      </c>
      <c r="G97" s="38"/>
    </row>
    <row r="98" spans="2:7" x14ac:dyDescent="0.3">
      <c r="B98" s="38" t="s">
        <v>497</v>
      </c>
      <c r="C98" s="38" t="s">
        <v>407</v>
      </c>
      <c r="D98" s="38" t="s">
        <v>487</v>
      </c>
      <c r="E98" s="38">
        <v>0</v>
      </c>
      <c r="F98" s="38">
        <v>0</v>
      </c>
      <c r="G98" s="38"/>
    </row>
    <row r="99" spans="2:7" x14ac:dyDescent="0.3">
      <c r="B99" s="38" t="s">
        <v>498</v>
      </c>
      <c r="C99" s="38" t="s">
        <v>398</v>
      </c>
      <c r="D99" s="38" t="s">
        <v>499</v>
      </c>
      <c r="E99" s="38">
        <v>86</v>
      </c>
      <c r="F99" s="38">
        <v>1261</v>
      </c>
      <c r="G99" s="38"/>
    </row>
    <row r="100" spans="2:7" x14ac:dyDescent="0.3">
      <c r="B100" s="38" t="s">
        <v>500</v>
      </c>
      <c r="C100" s="38" t="s">
        <v>398</v>
      </c>
      <c r="D100" s="38" t="s">
        <v>499</v>
      </c>
      <c r="E100" s="38">
        <v>66</v>
      </c>
      <c r="F100" s="38">
        <v>764</v>
      </c>
      <c r="G100" s="38"/>
    </row>
    <row r="101" spans="2:7" x14ac:dyDescent="0.3">
      <c r="B101" s="38" t="s">
        <v>501</v>
      </c>
      <c r="C101" s="38" t="s">
        <v>398</v>
      </c>
      <c r="D101" s="38" t="s">
        <v>499</v>
      </c>
      <c r="E101" s="38">
        <v>37</v>
      </c>
      <c r="F101" s="38">
        <v>467</v>
      </c>
      <c r="G101" s="38"/>
    </row>
    <row r="102" spans="2:7" x14ac:dyDescent="0.3">
      <c r="B102" s="38" t="s">
        <v>502</v>
      </c>
      <c r="C102" s="38" t="s">
        <v>398</v>
      </c>
      <c r="D102" s="38" t="s">
        <v>499</v>
      </c>
      <c r="E102" s="38">
        <v>0</v>
      </c>
      <c r="F102" s="38">
        <v>0</v>
      </c>
      <c r="G102" s="38"/>
    </row>
    <row r="103" spans="2:7" x14ac:dyDescent="0.3">
      <c r="B103" s="38" t="s">
        <v>503</v>
      </c>
      <c r="C103" s="38" t="s">
        <v>398</v>
      </c>
      <c r="D103" s="38" t="s">
        <v>499</v>
      </c>
      <c r="E103" s="38">
        <v>4</v>
      </c>
      <c r="F103" s="38">
        <v>29</v>
      </c>
      <c r="G103" s="38"/>
    </row>
    <row r="104" spans="2:7" x14ac:dyDescent="0.3">
      <c r="B104" s="38" t="s">
        <v>504</v>
      </c>
      <c r="C104" s="38" t="s">
        <v>407</v>
      </c>
      <c r="D104" s="38" t="s">
        <v>499</v>
      </c>
      <c r="E104" s="38">
        <v>42</v>
      </c>
      <c r="F104" s="38">
        <v>487</v>
      </c>
      <c r="G104" s="38"/>
    </row>
    <row r="105" spans="2:7" x14ac:dyDescent="0.3">
      <c r="B105" s="38" t="s">
        <v>505</v>
      </c>
      <c r="C105" s="38" t="s">
        <v>407</v>
      </c>
      <c r="D105" s="38" t="s">
        <v>499</v>
      </c>
      <c r="E105" s="38">
        <v>25</v>
      </c>
      <c r="F105" s="38">
        <v>255</v>
      </c>
      <c r="G105" s="38"/>
    </row>
    <row r="106" spans="2:7" x14ac:dyDescent="0.3">
      <c r="B106" s="38" t="s">
        <v>506</v>
      </c>
      <c r="C106" s="38" t="s">
        <v>407</v>
      </c>
      <c r="D106" s="38" t="s">
        <v>499</v>
      </c>
      <c r="E106" s="38">
        <v>17</v>
      </c>
      <c r="F106" s="38">
        <v>145</v>
      </c>
      <c r="G106" s="38"/>
    </row>
    <row r="107" spans="2:7" x14ac:dyDescent="0.3">
      <c r="B107" s="38" t="s">
        <v>507</v>
      </c>
      <c r="C107" s="38" t="s">
        <v>407</v>
      </c>
      <c r="D107" s="38" t="s">
        <v>499</v>
      </c>
      <c r="E107" s="38">
        <v>4</v>
      </c>
      <c r="F107" s="38">
        <v>32</v>
      </c>
      <c r="G107" s="38"/>
    </row>
    <row r="108" spans="2:7" x14ac:dyDescent="0.3">
      <c r="B108" s="38" t="s">
        <v>508</v>
      </c>
      <c r="C108" s="38" t="s">
        <v>407</v>
      </c>
      <c r="D108" s="38" t="s">
        <v>499</v>
      </c>
      <c r="E108" s="38">
        <v>0</v>
      </c>
      <c r="F108" s="38">
        <v>0</v>
      </c>
      <c r="G108" s="38"/>
    </row>
    <row r="109" spans="2:7" x14ac:dyDescent="0.3">
      <c r="B109" s="38" t="s">
        <v>509</v>
      </c>
      <c r="C109" s="38" t="s">
        <v>398</v>
      </c>
      <c r="D109" s="38" t="s">
        <v>510</v>
      </c>
      <c r="E109" s="38">
        <v>93</v>
      </c>
      <c r="F109" s="38">
        <v>1311</v>
      </c>
      <c r="G109" s="38"/>
    </row>
    <row r="110" spans="2:7" x14ac:dyDescent="0.3">
      <c r="B110" s="38" t="s">
        <v>511</v>
      </c>
      <c r="C110" s="38" t="s">
        <v>398</v>
      </c>
      <c r="D110" s="38" t="s">
        <v>510</v>
      </c>
      <c r="E110" s="38">
        <v>72</v>
      </c>
      <c r="F110" s="38">
        <v>1023</v>
      </c>
      <c r="G110" s="38"/>
    </row>
    <row r="111" spans="2:7" x14ac:dyDescent="0.3">
      <c r="B111" s="38" t="s">
        <v>512</v>
      </c>
      <c r="C111" s="38" t="s">
        <v>398</v>
      </c>
      <c r="D111" s="38" t="s">
        <v>510</v>
      </c>
      <c r="E111" s="38">
        <v>37</v>
      </c>
      <c r="F111" s="38">
        <v>486</v>
      </c>
      <c r="G111" s="38"/>
    </row>
    <row r="112" spans="2:7" x14ac:dyDescent="0.3">
      <c r="B112" s="38" t="s">
        <v>513</v>
      </c>
      <c r="C112" s="38" t="s">
        <v>398</v>
      </c>
      <c r="D112" s="38" t="s">
        <v>510</v>
      </c>
      <c r="E112" s="38">
        <v>16</v>
      </c>
      <c r="F112" s="38">
        <v>270</v>
      </c>
      <c r="G112" s="38"/>
    </row>
    <row r="113" spans="2:7" x14ac:dyDescent="0.3">
      <c r="B113" s="38" t="s">
        <v>514</v>
      </c>
      <c r="C113" s="38" t="s">
        <v>398</v>
      </c>
      <c r="D113" s="38" t="s">
        <v>510</v>
      </c>
      <c r="E113" s="38">
        <v>17</v>
      </c>
      <c r="F113" s="38">
        <v>250</v>
      </c>
      <c r="G113" s="38"/>
    </row>
    <row r="114" spans="2:7" x14ac:dyDescent="0.3">
      <c r="B114" s="38" t="s">
        <v>515</v>
      </c>
      <c r="C114" s="38" t="s">
        <v>398</v>
      </c>
      <c r="D114" s="38" t="s">
        <v>510</v>
      </c>
      <c r="E114" s="38">
        <v>3</v>
      </c>
      <c r="F114" s="38">
        <v>54</v>
      </c>
      <c r="G114" s="38"/>
    </row>
    <row r="115" spans="2:7" x14ac:dyDescent="0.3">
      <c r="B115" s="38" t="s">
        <v>516</v>
      </c>
      <c r="C115" s="38" t="s">
        <v>398</v>
      </c>
      <c r="D115" s="38" t="s">
        <v>510</v>
      </c>
      <c r="E115" s="38">
        <v>2</v>
      </c>
      <c r="F115" s="38">
        <v>45</v>
      </c>
      <c r="G115" s="38"/>
    </row>
    <row r="116" spans="2:7" x14ac:dyDescent="0.3">
      <c r="B116" s="38" t="s">
        <v>517</v>
      </c>
      <c r="C116" s="38" t="s">
        <v>398</v>
      </c>
      <c r="D116" s="38" t="s">
        <v>510</v>
      </c>
      <c r="E116" s="38">
        <v>1</v>
      </c>
      <c r="F116" s="38">
        <v>17</v>
      </c>
      <c r="G116" s="38"/>
    </row>
    <row r="117" spans="2:7" x14ac:dyDescent="0.3">
      <c r="B117" s="38" t="s">
        <v>518</v>
      </c>
      <c r="C117" s="38" t="s">
        <v>407</v>
      </c>
      <c r="D117" s="38" t="s">
        <v>510</v>
      </c>
      <c r="E117" s="38">
        <v>25</v>
      </c>
      <c r="F117" s="38">
        <v>266</v>
      </c>
      <c r="G117" s="38"/>
    </row>
    <row r="118" spans="2:7" x14ac:dyDescent="0.3">
      <c r="B118" s="38" t="s">
        <v>519</v>
      </c>
      <c r="C118" s="38" t="s">
        <v>407</v>
      </c>
      <c r="D118" s="38" t="s">
        <v>510</v>
      </c>
      <c r="E118" s="38">
        <v>23</v>
      </c>
      <c r="F118" s="38">
        <v>315</v>
      </c>
      <c r="G118" s="38"/>
    </row>
    <row r="119" spans="2:7" x14ac:dyDescent="0.3">
      <c r="B119" s="38" t="s">
        <v>520</v>
      </c>
      <c r="C119" s="38" t="s">
        <v>407</v>
      </c>
      <c r="D119" s="38" t="s">
        <v>510</v>
      </c>
      <c r="E119" s="38">
        <v>7</v>
      </c>
      <c r="F119" s="38">
        <v>91</v>
      </c>
      <c r="G119" s="38"/>
    </row>
    <row r="120" spans="2:7" x14ac:dyDescent="0.3">
      <c r="B120" s="38" t="s">
        <v>521</v>
      </c>
      <c r="C120" s="38" t="s">
        <v>407</v>
      </c>
      <c r="D120" s="38" t="s">
        <v>510</v>
      </c>
      <c r="E120" s="38">
        <v>9</v>
      </c>
      <c r="F120" s="38">
        <v>94</v>
      </c>
      <c r="G120" s="38"/>
    </row>
    <row r="121" spans="2:7" x14ac:dyDescent="0.3">
      <c r="B121" s="38" t="s">
        <v>522</v>
      </c>
      <c r="C121" s="38" t="s">
        <v>407</v>
      </c>
      <c r="D121" s="38" t="s">
        <v>510</v>
      </c>
      <c r="E121" s="38">
        <v>0</v>
      </c>
      <c r="F121" s="38">
        <v>0</v>
      </c>
      <c r="G121" s="38"/>
    </row>
    <row r="122" spans="2:7" x14ac:dyDescent="0.3">
      <c r="B122" s="38" t="s">
        <v>523</v>
      </c>
      <c r="C122" s="38" t="s">
        <v>398</v>
      </c>
      <c r="D122" s="38" t="s">
        <v>524</v>
      </c>
      <c r="E122" s="38">
        <v>86</v>
      </c>
      <c r="F122" s="38">
        <v>1196</v>
      </c>
      <c r="G122" s="38"/>
    </row>
    <row r="123" spans="2:7" x14ac:dyDescent="0.3">
      <c r="B123" s="38" t="s">
        <v>525</v>
      </c>
      <c r="C123" s="38" t="s">
        <v>398</v>
      </c>
      <c r="D123" s="38" t="s">
        <v>524</v>
      </c>
      <c r="E123" s="38">
        <v>64</v>
      </c>
      <c r="F123" s="38">
        <v>879</v>
      </c>
      <c r="G123" s="38"/>
    </row>
    <row r="124" spans="2:7" x14ac:dyDescent="0.3">
      <c r="B124" s="38" t="s">
        <v>526</v>
      </c>
      <c r="C124" s="38" t="s">
        <v>398</v>
      </c>
      <c r="D124" s="38" t="s">
        <v>524</v>
      </c>
      <c r="E124" s="38">
        <v>32</v>
      </c>
      <c r="F124" s="38">
        <v>413</v>
      </c>
      <c r="G124" s="38"/>
    </row>
    <row r="125" spans="2:7" x14ac:dyDescent="0.3">
      <c r="B125" s="38" t="s">
        <v>527</v>
      </c>
      <c r="C125" s="38" t="s">
        <v>398</v>
      </c>
      <c r="D125" s="38" t="s">
        <v>524</v>
      </c>
      <c r="E125" s="38">
        <v>31</v>
      </c>
      <c r="F125" s="38">
        <v>306</v>
      </c>
      <c r="G125" s="38"/>
    </row>
    <row r="126" spans="2:7" x14ac:dyDescent="0.3">
      <c r="B126" s="38" t="s">
        <v>528</v>
      </c>
      <c r="C126" s="38" t="s">
        <v>398</v>
      </c>
      <c r="D126" s="38" t="s">
        <v>524</v>
      </c>
      <c r="E126" s="38">
        <v>12</v>
      </c>
      <c r="F126" s="38">
        <v>209</v>
      </c>
      <c r="G126" s="38"/>
    </row>
    <row r="127" spans="2:7" x14ac:dyDescent="0.3">
      <c r="B127" s="38" t="s">
        <v>529</v>
      </c>
      <c r="C127" s="38" t="s">
        <v>407</v>
      </c>
      <c r="D127" s="38" t="s">
        <v>524</v>
      </c>
      <c r="E127" s="38">
        <v>32</v>
      </c>
      <c r="F127" s="38">
        <v>340</v>
      </c>
      <c r="G127" s="38"/>
    </row>
    <row r="128" spans="2:7" x14ac:dyDescent="0.3">
      <c r="B128" s="38" t="s">
        <v>530</v>
      </c>
      <c r="C128" s="38" t="s">
        <v>407</v>
      </c>
      <c r="D128" s="38" t="s">
        <v>524</v>
      </c>
      <c r="E128" s="38">
        <v>28</v>
      </c>
      <c r="F128" s="38">
        <v>278</v>
      </c>
      <c r="G128" s="38"/>
    </row>
    <row r="129" spans="2:7" x14ac:dyDescent="0.3">
      <c r="B129" s="38" t="s">
        <v>531</v>
      </c>
      <c r="C129" s="38" t="s">
        <v>407</v>
      </c>
      <c r="D129" s="38" t="s">
        <v>524</v>
      </c>
      <c r="E129" s="38">
        <v>0</v>
      </c>
      <c r="F129" s="38">
        <v>0</v>
      </c>
      <c r="G129" s="38"/>
    </row>
    <row r="130" spans="2:7" x14ac:dyDescent="0.3">
      <c r="B130" s="38" t="s">
        <v>532</v>
      </c>
      <c r="C130" s="38" t="s">
        <v>407</v>
      </c>
      <c r="D130" s="38" t="s">
        <v>524</v>
      </c>
      <c r="E130" s="38">
        <v>0</v>
      </c>
      <c r="F130" s="38">
        <v>0</v>
      </c>
      <c r="G130" s="38"/>
    </row>
    <row r="131" spans="2:7" x14ac:dyDescent="0.3">
      <c r="B131" s="38" t="s">
        <v>533</v>
      </c>
      <c r="C131" s="38" t="s">
        <v>407</v>
      </c>
      <c r="D131" s="38" t="s">
        <v>524</v>
      </c>
      <c r="E131" s="38">
        <v>0</v>
      </c>
      <c r="F131" s="38">
        <v>0</v>
      </c>
      <c r="G131" s="38"/>
    </row>
    <row r="132" spans="2:7" x14ac:dyDescent="0.3">
      <c r="B132" s="38" t="s">
        <v>534</v>
      </c>
      <c r="C132" s="38" t="s">
        <v>398</v>
      </c>
      <c r="D132" s="38" t="s">
        <v>535</v>
      </c>
      <c r="E132" s="38">
        <v>74</v>
      </c>
      <c r="F132" s="38">
        <v>1057</v>
      </c>
      <c r="G132" s="38"/>
    </row>
    <row r="133" spans="2:7" x14ac:dyDescent="0.3">
      <c r="B133" s="38" t="s">
        <v>536</v>
      </c>
      <c r="C133" s="38" t="s">
        <v>398</v>
      </c>
      <c r="D133" s="38" t="s">
        <v>535</v>
      </c>
      <c r="E133" s="38">
        <v>68</v>
      </c>
      <c r="F133" s="38">
        <v>973</v>
      </c>
      <c r="G133" s="38"/>
    </row>
    <row r="134" spans="2:7" x14ac:dyDescent="0.3">
      <c r="B134" s="38" t="s">
        <v>537</v>
      </c>
      <c r="C134" s="38" t="s">
        <v>398</v>
      </c>
      <c r="D134" s="38" t="s">
        <v>535</v>
      </c>
      <c r="E134" s="38">
        <v>32</v>
      </c>
      <c r="F134" s="38">
        <v>440</v>
      </c>
      <c r="G134" s="38"/>
    </row>
    <row r="135" spans="2:7" x14ac:dyDescent="0.3">
      <c r="B135" s="38" t="s">
        <v>538</v>
      </c>
      <c r="C135" s="38" t="s">
        <v>398</v>
      </c>
      <c r="D135" s="38" t="s">
        <v>535</v>
      </c>
      <c r="E135" s="38">
        <v>20</v>
      </c>
      <c r="F135" s="38">
        <v>274</v>
      </c>
      <c r="G135" s="38"/>
    </row>
    <row r="136" spans="2:7" x14ac:dyDescent="0.3">
      <c r="B136" s="38" t="s">
        <v>539</v>
      </c>
      <c r="C136" s="38" t="s">
        <v>398</v>
      </c>
      <c r="D136" s="38" t="s">
        <v>535</v>
      </c>
      <c r="E136" s="38">
        <v>18</v>
      </c>
      <c r="F136" s="38">
        <v>197</v>
      </c>
      <c r="G136" s="38"/>
    </row>
    <row r="137" spans="2:7" x14ac:dyDescent="0.3">
      <c r="B137" s="38" t="s">
        <v>540</v>
      </c>
      <c r="C137" s="38" t="s">
        <v>398</v>
      </c>
      <c r="D137" s="38" t="s">
        <v>535</v>
      </c>
      <c r="E137" s="38">
        <v>8</v>
      </c>
      <c r="F137" s="38">
        <v>182</v>
      </c>
      <c r="G137" s="38"/>
    </row>
    <row r="138" spans="2:7" x14ac:dyDescent="0.3">
      <c r="B138" s="38" t="s">
        <v>541</v>
      </c>
      <c r="C138" s="38" t="s">
        <v>398</v>
      </c>
      <c r="D138" s="38" t="s">
        <v>535</v>
      </c>
      <c r="E138" s="38">
        <v>2</v>
      </c>
      <c r="F138" s="38">
        <v>23</v>
      </c>
      <c r="G138" s="38"/>
    </row>
    <row r="139" spans="2:7" x14ac:dyDescent="0.3">
      <c r="B139" s="38" t="s">
        <v>542</v>
      </c>
      <c r="C139" s="38" t="s">
        <v>407</v>
      </c>
      <c r="D139" s="38" t="s">
        <v>535</v>
      </c>
      <c r="E139" s="38">
        <v>64</v>
      </c>
      <c r="F139" s="38">
        <v>697</v>
      </c>
      <c r="G139" s="38"/>
    </row>
    <row r="140" spans="2:7" x14ac:dyDescent="0.3">
      <c r="B140" s="38" t="s">
        <v>543</v>
      </c>
      <c r="C140" s="38" t="s">
        <v>407</v>
      </c>
      <c r="D140" s="38" t="s">
        <v>535</v>
      </c>
      <c r="E140" s="38">
        <v>8</v>
      </c>
      <c r="F140" s="38">
        <v>42</v>
      </c>
      <c r="G140" s="38"/>
    </row>
    <row r="141" spans="2:7" x14ac:dyDescent="0.3">
      <c r="B141" s="38" t="s">
        <v>544</v>
      </c>
      <c r="C141" s="38" t="s">
        <v>407</v>
      </c>
      <c r="D141" s="38" t="s">
        <v>535</v>
      </c>
      <c r="E141" s="38">
        <v>1</v>
      </c>
      <c r="F141" s="38">
        <v>12</v>
      </c>
      <c r="G141" s="38"/>
    </row>
    <row r="142" spans="2:7" x14ac:dyDescent="0.3">
      <c r="B142" s="38" t="s">
        <v>545</v>
      </c>
      <c r="C142" s="38" t="s">
        <v>407</v>
      </c>
      <c r="D142" s="38" t="s">
        <v>535</v>
      </c>
      <c r="E142" s="38">
        <v>0</v>
      </c>
      <c r="F142" s="38">
        <v>0</v>
      </c>
      <c r="G142" s="38"/>
    </row>
    <row r="143" spans="2:7" x14ac:dyDescent="0.3">
      <c r="B143" s="38" t="s">
        <v>546</v>
      </c>
      <c r="C143" s="38" t="s">
        <v>407</v>
      </c>
      <c r="D143" s="38" t="s">
        <v>535</v>
      </c>
      <c r="E143" s="38">
        <v>0</v>
      </c>
      <c r="F143" s="38">
        <v>0</v>
      </c>
      <c r="G143" s="38"/>
    </row>
    <row r="144" spans="2:7" x14ac:dyDescent="0.3">
      <c r="B144" s="38" t="s">
        <v>547</v>
      </c>
      <c r="C144" s="38" t="s">
        <v>398</v>
      </c>
      <c r="D144" s="38" t="s">
        <v>548</v>
      </c>
      <c r="E144" s="38">
        <v>91</v>
      </c>
      <c r="F144" s="38">
        <v>1289</v>
      </c>
      <c r="G144" s="38"/>
    </row>
    <row r="145" spans="2:7" x14ac:dyDescent="0.3">
      <c r="B145" s="38" t="s">
        <v>549</v>
      </c>
      <c r="C145" s="38" t="s">
        <v>398</v>
      </c>
      <c r="D145" s="38" t="s">
        <v>548</v>
      </c>
      <c r="E145" s="38">
        <v>59</v>
      </c>
      <c r="F145" s="38">
        <v>861</v>
      </c>
      <c r="G145" s="38"/>
    </row>
    <row r="146" spans="2:7" x14ac:dyDescent="0.3">
      <c r="B146" s="38" t="s">
        <v>550</v>
      </c>
      <c r="C146" s="38" t="s">
        <v>398</v>
      </c>
      <c r="D146" s="38" t="s">
        <v>548</v>
      </c>
      <c r="E146" s="38">
        <v>33</v>
      </c>
      <c r="F146" s="38">
        <v>432</v>
      </c>
      <c r="G146" s="38"/>
    </row>
    <row r="147" spans="2:7" x14ac:dyDescent="0.3">
      <c r="B147" s="38" t="s">
        <v>551</v>
      </c>
      <c r="C147" s="38" t="s">
        <v>398</v>
      </c>
      <c r="D147" s="38" t="s">
        <v>548</v>
      </c>
      <c r="E147" s="38">
        <v>34</v>
      </c>
      <c r="F147" s="38">
        <v>376</v>
      </c>
      <c r="G147" s="38"/>
    </row>
    <row r="148" spans="2:7" x14ac:dyDescent="0.3">
      <c r="B148" s="38" t="s">
        <v>552</v>
      </c>
      <c r="C148" s="38" t="s">
        <v>398</v>
      </c>
      <c r="D148" s="38" t="s">
        <v>548</v>
      </c>
      <c r="E148" s="38">
        <v>18</v>
      </c>
      <c r="F148" s="38">
        <v>234</v>
      </c>
      <c r="G148" s="38"/>
    </row>
    <row r="149" spans="2:7" x14ac:dyDescent="0.3">
      <c r="B149" s="38" t="s">
        <v>553</v>
      </c>
      <c r="C149" s="38" t="s">
        <v>398</v>
      </c>
      <c r="D149" s="38" t="s">
        <v>548</v>
      </c>
      <c r="E149" s="38">
        <v>11</v>
      </c>
      <c r="F149" s="38">
        <v>221</v>
      </c>
      <c r="G149" s="38"/>
    </row>
    <row r="150" spans="2:7" x14ac:dyDescent="0.3">
      <c r="B150" s="38" t="s">
        <v>554</v>
      </c>
      <c r="C150" s="38" t="s">
        <v>398</v>
      </c>
      <c r="D150" s="38" t="s">
        <v>548</v>
      </c>
      <c r="E150" s="38">
        <v>12</v>
      </c>
      <c r="F150" s="38">
        <v>142</v>
      </c>
      <c r="G150" s="38"/>
    </row>
    <row r="151" spans="2:7" x14ac:dyDescent="0.3">
      <c r="B151" s="38" t="s">
        <v>555</v>
      </c>
      <c r="C151" s="38" t="s">
        <v>407</v>
      </c>
      <c r="D151" s="38" t="s">
        <v>548</v>
      </c>
      <c r="E151" s="38">
        <v>28</v>
      </c>
      <c r="F151" s="38">
        <v>298</v>
      </c>
      <c r="G151" s="38"/>
    </row>
    <row r="152" spans="2:7" x14ac:dyDescent="0.3">
      <c r="B152" s="38" t="s">
        <v>556</v>
      </c>
      <c r="C152" s="38" t="s">
        <v>407</v>
      </c>
      <c r="D152" s="38" t="s">
        <v>548</v>
      </c>
      <c r="E152" s="38">
        <v>24</v>
      </c>
      <c r="F152" s="38">
        <v>284</v>
      </c>
      <c r="G152" s="38"/>
    </row>
    <row r="153" spans="2:7" x14ac:dyDescent="0.3">
      <c r="B153" s="38" t="s">
        <v>557</v>
      </c>
      <c r="C153" s="38" t="s">
        <v>407</v>
      </c>
      <c r="D153" s="38" t="s">
        <v>548</v>
      </c>
      <c r="E153" s="38">
        <v>21</v>
      </c>
      <c r="F153" s="38">
        <v>167</v>
      </c>
      <c r="G153" s="38"/>
    </row>
    <row r="154" spans="2:7" x14ac:dyDescent="0.3">
      <c r="B154" s="38" t="s">
        <v>558</v>
      </c>
      <c r="C154" s="38" t="s">
        <v>407</v>
      </c>
      <c r="D154" s="38" t="s">
        <v>548</v>
      </c>
      <c r="E154" s="38">
        <v>0</v>
      </c>
      <c r="F154" s="38">
        <v>0</v>
      </c>
      <c r="G154" s="38"/>
    </row>
    <row r="155" spans="2:7" x14ac:dyDescent="0.3">
      <c r="B155" s="38" t="s">
        <v>559</v>
      </c>
      <c r="C155" s="38" t="s">
        <v>407</v>
      </c>
      <c r="D155" s="38" t="s">
        <v>548</v>
      </c>
      <c r="E155" s="38">
        <v>2</v>
      </c>
      <c r="F155" s="38">
        <v>4</v>
      </c>
      <c r="G155" s="38"/>
    </row>
    <row r="156" spans="2:7" x14ac:dyDescent="0.3">
      <c r="B156" s="38" t="s">
        <v>560</v>
      </c>
      <c r="C156" s="38" t="s">
        <v>398</v>
      </c>
      <c r="D156" s="38" t="s">
        <v>561</v>
      </c>
      <c r="E156" s="38">
        <v>74</v>
      </c>
      <c r="F156" s="38">
        <v>1009</v>
      </c>
      <c r="G156" s="38"/>
    </row>
    <row r="157" spans="2:7" x14ac:dyDescent="0.3">
      <c r="B157" s="38" t="s">
        <v>562</v>
      </c>
      <c r="C157" s="38" t="s">
        <v>398</v>
      </c>
      <c r="D157" s="38" t="s">
        <v>561</v>
      </c>
      <c r="E157" s="38">
        <v>63</v>
      </c>
      <c r="F157" s="38">
        <v>933</v>
      </c>
      <c r="G157" s="38"/>
    </row>
    <row r="158" spans="2:7" x14ac:dyDescent="0.3">
      <c r="B158" s="38" t="s">
        <v>563</v>
      </c>
      <c r="C158" s="38" t="s">
        <v>398</v>
      </c>
      <c r="D158" s="38" t="s">
        <v>561</v>
      </c>
      <c r="E158" s="38">
        <v>37</v>
      </c>
      <c r="F158" s="38">
        <v>475</v>
      </c>
      <c r="G158" s="38"/>
    </row>
    <row r="159" spans="2:7" x14ac:dyDescent="0.3">
      <c r="B159" s="38" t="s">
        <v>564</v>
      </c>
      <c r="C159" s="38" t="s">
        <v>398</v>
      </c>
      <c r="D159" s="38" t="s">
        <v>561</v>
      </c>
      <c r="E159" s="38">
        <v>26</v>
      </c>
      <c r="F159" s="38">
        <v>384</v>
      </c>
      <c r="G159" s="38"/>
    </row>
    <row r="160" spans="2:7" x14ac:dyDescent="0.3">
      <c r="B160" s="38" t="s">
        <v>565</v>
      </c>
      <c r="C160" s="38" t="s">
        <v>398</v>
      </c>
      <c r="D160" s="38" t="s">
        <v>561</v>
      </c>
      <c r="E160" s="38">
        <v>18</v>
      </c>
      <c r="F160" s="38">
        <v>181</v>
      </c>
      <c r="G160" s="38"/>
    </row>
    <row r="161" spans="2:7" x14ac:dyDescent="0.3">
      <c r="B161" s="38" t="s">
        <v>566</v>
      </c>
      <c r="C161" s="38" t="s">
        <v>398</v>
      </c>
      <c r="D161" s="38" t="s">
        <v>561</v>
      </c>
      <c r="E161" s="38">
        <v>13</v>
      </c>
      <c r="F161" s="38">
        <v>169</v>
      </c>
      <c r="G161" s="38"/>
    </row>
    <row r="162" spans="2:7" x14ac:dyDescent="0.3">
      <c r="B162" s="38" t="s">
        <v>567</v>
      </c>
      <c r="C162" s="38" t="s">
        <v>398</v>
      </c>
      <c r="D162" s="38" t="s">
        <v>561</v>
      </c>
      <c r="E162" s="38">
        <v>0</v>
      </c>
      <c r="F162" s="38">
        <v>10</v>
      </c>
      <c r="G162" s="38"/>
    </row>
    <row r="163" spans="2:7" x14ac:dyDescent="0.3">
      <c r="B163" s="38" t="s">
        <v>568</v>
      </c>
      <c r="C163" s="38" t="s">
        <v>407</v>
      </c>
      <c r="D163" s="38" t="s">
        <v>561</v>
      </c>
      <c r="E163" s="38">
        <v>39</v>
      </c>
      <c r="F163" s="38">
        <v>357</v>
      </c>
      <c r="G163" s="38"/>
    </row>
    <row r="164" spans="2:7" x14ac:dyDescent="0.3">
      <c r="B164" s="38" t="s">
        <v>569</v>
      </c>
      <c r="C164" s="38" t="s">
        <v>407</v>
      </c>
      <c r="D164" s="38" t="s">
        <v>561</v>
      </c>
      <c r="E164" s="38">
        <v>27</v>
      </c>
      <c r="F164" s="38">
        <v>293</v>
      </c>
      <c r="G164" s="38"/>
    </row>
    <row r="165" spans="2:7" x14ac:dyDescent="0.3">
      <c r="B165" s="38" t="s">
        <v>570</v>
      </c>
      <c r="C165" s="38" t="s">
        <v>407</v>
      </c>
      <c r="D165" s="38" t="s">
        <v>561</v>
      </c>
      <c r="E165" s="38">
        <v>14</v>
      </c>
      <c r="F165" s="38">
        <v>146</v>
      </c>
      <c r="G165" s="38"/>
    </row>
    <row r="166" spans="2:7" x14ac:dyDescent="0.3">
      <c r="B166" s="38" t="s">
        <v>571</v>
      </c>
      <c r="C166" s="38" t="s">
        <v>407</v>
      </c>
      <c r="D166" s="38" t="s">
        <v>561</v>
      </c>
      <c r="E166" s="38">
        <v>9</v>
      </c>
      <c r="F166" s="38">
        <v>111</v>
      </c>
      <c r="G166" s="38"/>
    </row>
    <row r="167" spans="2:7" x14ac:dyDescent="0.3">
      <c r="B167" s="38" t="s">
        <v>572</v>
      </c>
      <c r="C167" s="38" t="s">
        <v>407</v>
      </c>
      <c r="D167" s="38" t="s">
        <v>561</v>
      </c>
      <c r="E167" s="38">
        <v>0</v>
      </c>
      <c r="F167" s="38">
        <v>0</v>
      </c>
      <c r="G167" s="38"/>
    </row>
    <row r="168" spans="2:7" x14ac:dyDescent="0.3">
      <c r="B168" s="38" t="s">
        <v>573</v>
      </c>
      <c r="C168" s="38" t="s">
        <v>398</v>
      </c>
      <c r="D168" s="38" t="s">
        <v>574</v>
      </c>
      <c r="E168" s="38">
        <v>74</v>
      </c>
      <c r="F168" s="38">
        <v>1132</v>
      </c>
      <c r="G168" s="38"/>
    </row>
    <row r="169" spans="2:7" x14ac:dyDescent="0.3">
      <c r="B169" s="38" t="s">
        <v>575</v>
      </c>
      <c r="C169" s="38" t="s">
        <v>398</v>
      </c>
      <c r="D169" s="38" t="s">
        <v>574</v>
      </c>
      <c r="E169" s="38">
        <v>58</v>
      </c>
      <c r="F169" s="38">
        <v>794</v>
      </c>
      <c r="G169" s="38"/>
    </row>
    <row r="170" spans="2:7" x14ac:dyDescent="0.3">
      <c r="B170" s="38" t="s">
        <v>576</v>
      </c>
      <c r="C170" s="38" t="s">
        <v>398</v>
      </c>
      <c r="D170" s="38" t="s">
        <v>574</v>
      </c>
      <c r="E170" s="38">
        <v>48</v>
      </c>
      <c r="F170" s="38">
        <v>654</v>
      </c>
      <c r="G170" s="38"/>
    </row>
    <row r="171" spans="2:7" x14ac:dyDescent="0.3">
      <c r="B171" s="38" t="s">
        <v>577</v>
      </c>
      <c r="C171" s="38" t="s">
        <v>398</v>
      </c>
      <c r="D171" s="38" t="s">
        <v>574</v>
      </c>
      <c r="E171" s="38">
        <v>56</v>
      </c>
      <c r="F171" s="38">
        <v>713</v>
      </c>
      <c r="G171" s="38"/>
    </row>
    <row r="172" spans="2:7" x14ac:dyDescent="0.3">
      <c r="B172" s="38" t="s">
        <v>578</v>
      </c>
      <c r="C172" s="38" t="s">
        <v>398</v>
      </c>
      <c r="D172" s="38" t="s">
        <v>574</v>
      </c>
      <c r="E172" s="38">
        <v>18</v>
      </c>
      <c r="F172" s="38">
        <v>336</v>
      </c>
      <c r="G172" s="38"/>
    </row>
    <row r="173" spans="2:7" x14ac:dyDescent="0.3">
      <c r="B173" s="38" t="s">
        <v>579</v>
      </c>
      <c r="C173" s="38" t="s">
        <v>398</v>
      </c>
      <c r="D173" s="38" t="s">
        <v>574</v>
      </c>
      <c r="E173" s="38">
        <v>3</v>
      </c>
      <c r="F173" s="38">
        <v>30</v>
      </c>
      <c r="G173" s="38"/>
    </row>
    <row r="174" spans="2:7" x14ac:dyDescent="0.3">
      <c r="B174" s="38" t="s">
        <v>580</v>
      </c>
      <c r="C174" s="38" t="s">
        <v>398</v>
      </c>
      <c r="D174" s="38" t="s">
        <v>574</v>
      </c>
      <c r="E174" s="38">
        <v>2</v>
      </c>
      <c r="F174" s="38">
        <v>17</v>
      </c>
      <c r="G174" s="38"/>
    </row>
    <row r="175" spans="2:7" x14ac:dyDescent="0.3">
      <c r="B175" s="38" t="s">
        <v>581</v>
      </c>
      <c r="C175" s="38" t="s">
        <v>398</v>
      </c>
      <c r="D175" s="38" t="s">
        <v>574</v>
      </c>
      <c r="E175" s="38">
        <v>4</v>
      </c>
      <c r="F175" s="38">
        <v>18</v>
      </c>
      <c r="G175" s="38"/>
    </row>
    <row r="176" spans="2:7" x14ac:dyDescent="0.3">
      <c r="B176" s="38" t="s">
        <v>582</v>
      </c>
      <c r="C176" s="38" t="s">
        <v>407</v>
      </c>
      <c r="D176" s="38" t="s">
        <v>574</v>
      </c>
      <c r="E176" s="38">
        <v>35</v>
      </c>
      <c r="F176" s="38">
        <v>347</v>
      </c>
      <c r="G176" s="38"/>
    </row>
    <row r="177" spans="2:7" x14ac:dyDescent="0.3">
      <c r="B177" s="38" t="s">
        <v>583</v>
      </c>
      <c r="C177" s="38" t="s">
        <v>407</v>
      </c>
      <c r="D177" s="38" t="s">
        <v>574</v>
      </c>
      <c r="E177" s="38">
        <v>29</v>
      </c>
      <c r="F177" s="38">
        <v>287</v>
      </c>
      <c r="G177" s="38"/>
    </row>
    <row r="178" spans="2:7" x14ac:dyDescent="0.3">
      <c r="B178" s="38" t="s">
        <v>584</v>
      </c>
      <c r="C178" s="38" t="s">
        <v>407</v>
      </c>
      <c r="D178" s="38" t="s">
        <v>574</v>
      </c>
      <c r="E178" s="38">
        <v>9</v>
      </c>
      <c r="F178" s="38">
        <v>76</v>
      </c>
      <c r="G178" s="38"/>
    </row>
    <row r="179" spans="2:7" x14ac:dyDescent="0.3">
      <c r="B179" s="38" t="s">
        <v>585</v>
      </c>
      <c r="C179" s="38" t="s">
        <v>407</v>
      </c>
      <c r="D179" s="38" t="s">
        <v>574</v>
      </c>
      <c r="E179" s="38">
        <v>6</v>
      </c>
      <c r="F179" s="38">
        <v>57</v>
      </c>
      <c r="G179" s="38"/>
    </row>
    <row r="180" spans="2:7" x14ac:dyDescent="0.3">
      <c r="B180" s="38" t="s">
        <v>586</v>
      </c>
      <c r="C180" s="38" t="s">
        <v>407</v>
      </c>
      <c r="D180" s="38" t="s">
        <v>574</v>
      </c>
      <c r="E180" s="38">
        <v>0</v>
      </c>
      <c r="F180" s="38">
        <v>0</v>
      </c>
      <c r="G180" s="38"/>
    </row>
    <row r="181" spans="2:7" x14ac:dyDescent="0.3">
      <c r="B181" s="38" t="s">
        <v>587</v>
      </c>
      <c r="C181" s="38" t="s">
        <v>398</v>
      </c>
      <c r="D181" s="38" t="s">
        <v>588</v>
      </c>
      <c r="E181" s="38">
        <v>74</v>
      </c>
      <c r="F181" s="38">
        <v>1038</v>
      </c>
      <c r="G181" s="38"/>
    </row>
    <row r="182" spans="2:7" x14ac:dyDescent="0.3">
      <c r="B182" s="38" t="s">
        <v>589</v>
      </c>
      <c r="C182" s="38" t="s">
        <v>398</v>
      </c>
      <c r="D182" s="38" t="s">
        <v>588</v>
      </c>
      <c r="E182" s="38">
        <v>63</v>
      </c>
      <c r="F182" s="38">
        <v>805</v>
      </c>
      <c r="G182" s="38"/>
    </row>
    <row r="183" spans="2:7" x14ac:dyDescent="0.3">
      <c r="B183" s="38" t="s">
        <v>590</v>
      </c>
      <c r="C183" s="38" t="s">
        <v>398</v>
      </c>
      <c r="D183" s="38" t="s">
        <v>588</v>
      </c>
      <c r="E183" s="38">
        <v>42</v>
      </c>
      <c r="F183" s="38">
        <v>510</v>
      </c>
      <c r="G183" s="38"/>
    </row>
    <row r="184" spans="2:7" x14ac:dyDescent="0.3">
      <c r="B184" s="38" t="s">
        <v>591</v>
      </c>
      <c r="C184" s="38" t="s">
        <v>398</v>
      </c>
      <c r="D184" s="38" t="s">
        <v>588</v>
      </c>
      <c r="E184" s="38">
        <v>24</v>
      </c>
      <c r="F184" s="38">
        <v>348</v>
      </c>
      <c r="G184" s="38"/>
    </row>
    <row r="185" spans="2:7" x14ac:dyDescent="0.3">
      <c r="B185" s="38" t="s">
        <v>592</v>
      </c>
      <c r="C185" s="38" t="s">
        <v>398</v>
      </c>
      <c r="D185" s="38" t="s">
        <v>588</v>
      </c>
      <c r="E185" s="38">
        <v>12</v>
      </c>
      <c r="F185" s="38">
        <v>158</v>
      </c>
      <c r="G185" s="38"/>
    </row>
    <row r="186" spans="2:7" x14ac:dyDescent="0.3">
      <c r="B186" s="38" t="s">
        <v>593</v>
      </c>
      <c r="C186" s="38" t="s">
        <v>398</v>
      </c>
      <c r="D186" s="38" t="s">
        <v>588</v>
      </c>
      <c r="E186" s="38">
        <v>3</v>
      </c>
      <c r="F186" s="38">
        <v>38</v>
      </c>
      <c r="G186" s="38"/>
    </row>
    <row r="187" spans="2:7" x14ac:dyDescent="0.3">
      <c r="B187" s="38" t="s">
        <v>594</v>
      </c>
      <c r="C187" s="38" t="s">
        <v>398</v>
      </c>
      <c r="D187" s="38" t="s">
        <v>588</v>
      </c>
      <c r="E187" s="38">
        <v>1</v>
      </c>
      <c r="F187" s="38">
        <v>28</v>
      </c>
      <c r="G187" s="38"/>
    </row>
    <row r="188" spans="2:7" x14ac:dyDescent="0.3">
      <c r="B188" s="38" t="s">
        <v>595</v>
      </c>
      <c r="C188" s="38" t="s">
        <v>407</v>
      </c>
      <c r="D188" s="38" t="s">
        <v>588</v>
      </c>
      <c r="E188" s="38">
        <v>65</v>
      </c>
      <c r="F188" s="38">
        <v>682</v>
      </c>
      <c r="G188" s="38"/>
    </row>
    <row r="189" spans="2:7" x14ac:dyDescent="0.3">
      <c r="B189" s="38" t="s">
        <v>596</v>
      </c>
      <c r="C189" s="38" t="s">
        <v>407</v>
      </c>
      <c r="D189" s="38" t="s">
        <v>588</v>
      </c>
      <c r="E189" s="38">
        <v>12</v>
      </c>
      <c r="F189" s="38">
        <v>116</v>
      </c>
      <c r="G189" s="38"/>
    </row>
    <row r="190" spans="2:7" x14ac:dyDescent="0.3">
      <c r="B190" s="38" t="s">
        <v>597</v>
      </c>
      <c r="C190" s="38" t="s">
        <v>407</v>
      </c>
      <c r="D190" s="38" t="s">
        <v>588</v>
      </c>
      <c r="E190" s="38">
        <v>0</v>
      </c>
      <c r="F190" s="38">
        <v>0</v>
      </c>
      <c r="G190" s="38"/>
    </row>
    <row r="191" spans="2:7" x14ac:dyDescent="0.3">
      <c r="B191" s="38" t="s">
        <v>598</v>
      </c>
      <c r="C191" s="38" t="s">
        <v>407</v>
      </c>
      <c r="D191" s="38" t="s">
        <v>588</v>
      </c>
      <c r="E191" s="38">
        <v>0</v>
      </c>
      <c r="F191" s="38">
        <v>0</v>
      </c>
      <c r="G191" s="38"/>
    </row>
    <row r="192" spans="2:7" x14ac:dyDescent="0.3">
      <c r="B192" s="38" t="s">
        <v>599</v>
      </c>
      <c r="C192" s="38" t="s">
        <v>407</v>
      </c>
      <c r="D192" s="38" t="s">
        <v>588</v>
      </c>
      <c r="E192" s="38">
        <v>0</v>
      </c>
      <c r="F192" s="38">
        <v>0</v>
      </c>
      <c r="G192" s="38"/>
    </row>
    <row r="193" spans="2:7" x14ac:dyDescent="0.3">
      <c r="B193" s="38" t="s">
        <v>600</v>
      </c>
      <c r="C193" s="38" t="s">
        <v>398</v>
      </c>
      <c r="D193" s="38" t="s">
        <v>601</v>
      </c>
      <c r="E193" s="38">
        <v>59</v>
      </c>
      <c r="F193" s="38">
        <v>996</v>
      </c>
      <c r="G193" s="38"/>
    </row>
    <row r="194" spans="2:7" x14ac:dyDescent="0.3">
      <c r="B194" s="38" t="s">
        <v>602</v>
      </c>
      <c r="C194" s="38" t="s">
        <v>398</v>
      </c>
      <c r="D194" s="38" t="s">
        <v>601</v>
      </c>
      <c r="E194" s="38">
        <v>45</v>
      </c>
      <c r="F194" s="38">
        <v>685</v>
      </c>
      <c r="G194" s="38"/>
    </row>
    <row r="195" spans="2:7" x14ac:dyDescent="0.3">
      <c r="B195" s="38" t="s">
        <v>603</v>
      </c>
      <c r="C195" s="38" t="s">
        <v>398</v>
      </c>
      <c r="D195" s="38" t="s">
        <v>601</v>
      </c>
      <c r="E195" s="38">
        <v>22</v>
      </c>
      <c r="F195" s="38">
        <v>434</v>
      </c>
      <c r="G195" s="38"/>
    </row>
    <row r="196" spans="2:7" x14ac:dyDescent="0.3">
      <c r="B196" s="38" t="s">
        <v>604</v>
      </c>
      <c r="C196" s="38" t="s">
        <v>398</v>
      </c>
      <c r="D196" s="38" t="s">
        <v>601</v>
      </c>
      <c r="E196" s="38">
        <v>26</v>
      </c>
      <c r="F196" s="38">
        <v>376</v>
      </c>
      <c r="G196" s="38"/>
    </row>
    <row r="197" spans="2:7" x14ac:dyDescent="0.3">
      <c r="B197" s="38" t="s">
        <v>605</v>
      </c>
      <c r="C197" s="38" t="s">
        <v>398</v>
      </c>
      <c r="D197" s="38" t="s">
        <v>601</v>
      </c>
      <c r="E197" s="38">
        <v>24</v>
      </c>
      <c r="F197" s="38">
        <v>276</v>
      </c>
      <c r="G197" s="38"/>
    </row>
    <row r="198" spans="2:7" x14ac:dyDescent="0.3">
      <c r="B198" s="38" t="s">
        <v>606</v>
      </c>
      <c r="C198" s="38" t="s">
        <v>398</v>
      </c>
      <c r="D198" s="38" t="s">
        <v>601</v>
      </c>
      <c r="E198" s="38">
        <v>19</v>
      </c>
      <c r="F198" s="38">
        <v>241</v>
      </c>
      <c r="G198" s="38"/>
    </row>
    <row r="199" spans="2:7" x14ac:dyDescent="0.3">
      <c r="B199" s="38" t="s">
        <v>607</v>
      </c>
      <c r="C199" s="38" t="s">
        <v>398</v>
      </c>
      <c r="D199" s="38" t="s">
        <v>601</v>
      </c>
      <c r="E199" s="38">
        <v>18</v>
      </c>
      <c r="F199" s="38">
        <v>205</v>
      </c>
      <c r="G199" s="38"/>
    </row>
    <row r="200" spans="2:7" x14ac:dyDescent="0.3">
      <c r="B200" s="38" t="s">
        <v>608</v>
      </c>
      <c r="C200" s="38" t="s">
        <v>407</v>
      </c>
      <c r="D200" s="38" t="s">
        <v>601</v>
      </c>
      <c r="E200" s="38">
        <v>75</v>
      </c>
      <c r="F200" s="38">
        <v>933</v>
      </c>
      <c r="G200" s="38"/>
    </row>
    <row r="201" spans="2:7" x14ac:dyDescent="0.3">
      <c r="B201" s="38" t="s">
        <v>609</v>
      </c>
      <c r="C201" s="38" t="s">
        <v>407</v>
      </c>
      <c r="D201" s="38" t="s">
        <v>601</v>
      </c>
      <c r="E201" s="38">
        <v>21</v>
      </c>
      <c r="F201" s="38">
        <v>201</v>
      </c>
      <c r="G201" s="38"/>
    </row>
    <row r="202" spans="2:7" x14ac:dyDescent="0.3">
      <c r="B202" s="38" t="s">
        <v>610</v>
      </c>
      <c r="C202" s="38" t="s">
        <v>407</v>
      </c>
      <c r="D202" s="38" t="s">
        <v>601</v>
      </c>
      <c r="E202" s="38">
        <v>16</v>
      </c>
      <c r="F202" s="38">
        <v>114</v>
      </c>
      <c r="G202" s="38"/>
    </row>
    <row r="203" spans="2:7" x14ac:dyDescent="0.3">
      <c r="B203" s="38" t="s">
        <v>611</v>
      </c>
      <c r="C203" s="38" t="s">
        <v>407</v>
      </c>
      <c r="D203" s="38" t="s">
        <v>601</v>
      </c>
      <c r="E203" s="38">
        <v>0</v>
      </c>
      <c r="F203" s="38">
        <v>0</v>
      </c>
      <c r="G203" s="38"/>
    </row>
    <row r="204" spans="2:7" x14ac:dyDescent="0.3">
      <c r="B204" s="38" t="s">
        <v>612</v>
      </c>
      <c r="C204" s="38" t="s">
        <v>407</v>
      </c>
      <c r="D204" s="38" t="s">
        <v>601</v>
      </c>
      <c r="E204" s="38">
        <v>0</v>
      </c>
      <c r="F204" s="38">
        <v>0</v>
      </c>
      <c r="G204" s="38"/>
    </row>
    <row r="205" spans="2:7" x14ac:dyDescent="0.3">
      <c r="B205" s="38" t="s">
        <v>613</v>
      </c>
      <c r="C205" s="38" t="s">
        <v>398</v>
      </c>
      <c r="D205" s="38" t="s">
        <v>614</v>
      </c>
      <c r="E205" s="38">
        <v>79</v>
      </c>
      <c r="F205" s="38">
        <v>1151</v>
      </c>
      <c r="G205" s="38"/>
    </row>
    <row r="206" spans="2:7" x14ac:dyDescent="0.3">
      <c r="B206" s="38" t="s">
        <v>615</v>
      </c>
      <c r="C206" s="38" t="s">
        <v>398</v>
      </c>
      <c r="D206" s="38" t="s">
        <v>614</v>
      </c>
      <c r="E206" s="38">
        <v>58</v>
      </c>
      <c r="F206" s="38">
        <v>737</v>
      </c>
      <c r="G206" s="38"/>
    </row>
    <row r="207" spans="2:7" x14ac:dyDescent="0.3">
      <c r="B207" s="38" t="s">
        <v>616</v>
      </c>
      <c r="C207" s="38" t="s">
        <v>398</v>
      </c>
      <c r="D207" s="38" t="s">
        <v>614</v>
      </c>
      <c r="E207" s="38">
        <v>33</v>
      </c>
      <c r="F207" s="38">
        <v>349</v>
      </c>
      <c r="G207" s="38"/>
    </row>
    <row r="208" spans="2:7" x14ac:dyDescent="0.3">
      <c r="B208" s="38" t="s">
        <v>617</v>
      </c>
      <c r="C208" s="38" t="s">
        <v>398</v>
      </c>
      <c r="D208" s="38" t="s">
        <v>614</v>
      </c>
      <c r="E208" s="38">
        <v>27</v>
      </c>
      <c r="F208" s="38">
        <v>379</v>
      </c>
      <c r="G208" s="38"/>
    </row>
    <row r="209" spans="2:7" x14ac:dyDescent="0.3">
      <c r="B209" s="38" t="s">
        <v>618</v>
      </c>
      <c r="C209" s="38" t="s">
        <v>398</v>
      </c>
      <c r="D209" s="38" t="s">
        <v>614</v>
      </c>
      <c r="E209" s="38">
        <v>32</v>
      </c>
      <c r="F209" s="38">
        <v>372</v>
      </c>
      <c r="G209" s="38"/>
    </row>
    <row r="210" spans="2:7" x14ac:dyDescent="0.3">
      <c r="B210" s="38" t="s">
        <v>619</v>
      </c>
      <c r="C210" s="38" t="s">
        <v>398</v>
      </c>
      <c r="D210" s="38" t="s">
        <v>614</v>
      </c>
      <c r="E210" s="38">
        <v>16</v>
      </c>
      <c r="F210" s="38">
        <v>149</v>
      </c>
      <c r="G210" s="38"/>
    </row>
    <row r="211" spans="2:7" x14ac:dyDescent="0.3">
      <c r="B211" s="38" t="s">
        <v>620</v>
      </c>
      <c r="C211" s="38" t="s">
        <v>398</v>
      </c>
      <c r="D211" s="38" t="s">
        <v>614</v>
      </c>
      <c r="E211" s="38">
        <v>2</v>
      </c>
      <c r="F211" s="38">
        <v>18</v>
      </c>
      <c r="G211" s="38"/>
    </row>
    <row r="212" spans="2:7" x14ac:dyDescent="0.3">
      <c r="B212" s="38" t="s">
        <v>621</v>
      </c>
      <c r="C212" s="38" t="s">
        <v>407</v>
      </c>
      <c r="D212" s="38" t="s">
        <v>614</v>
      </c>
      <c r="E212" s="38">
        <v>18</v>
      </c>
      <c r="F212" s="38">
        <v>165</v>
      </c>
      <c r="G212" s="38"/>
    </row>
    <row r="213" spans="2:7" x14ac:dyDescent="0.3">
      <c r="B213" s="38" t="s">
        <v>622</v>
      </c>
      <c r="C213" s="38" t="s">
        <v>407</v>
      </c>
      <c r="D213" s="38" t="s">
        <v>614</v>
      </c>
      <c r="E213" s="38">
        <v>20</v>
      </c>
      <c r="F213" s="38">
        <v>197</v>
      </c>
      <c r="G213" s="38"/>
    </row>
    <row r="214" spans="2:7" x14ac:dyDescent="0.3">
      <c r="B214" s="38" t="s">
        <v>623</v>
      </c>
      <c r="C214" s="38" t="s">
        <v>407</v>
      </c>
      <c r="D214" s="38" t="s">
        <v>614</v>
      </c>
      <c r="E214" s="38">
        <v>15</v>
      </c>
      <c r="F214" s="38">
        <v>160</v>
      </c>
      <c r="G214" s="38"/>
    </row>
    <row r="215" spans="2:7" x14ac:dyDescent="0.3">
      <c r="B215" s="38" t="s">
        <v>624</v>
      </c>
      <c r="C215" s="38" t="s">
        <v>407</v>
      </c>
      <c r="D215" s="38" t="s">
        <v>614</v>
      </c>
      <c r="E215" s="38">
        <v>6</v>
      </c>
      <c r="F215" s="38">
        <v>87</v>
      </c>
      <c r="G215" s="38"/>
    </row>
    <row r="216" spans="2:7" x14ac:dyDescent="0.3">
      <c r="B216" s="38" t="s">
        <v>625</v>
      </c>
      <c r="C216" s="38" t="s">
        <v>407</v>
      </c>
      <c r="D216" s="38" t="s">
        <v>614</v>
      </c>
      <c r="E216" s="38">
        <v>0</v>
      </c>
      <c r="F216" s="38">
        <v>0</v>
      </c>
      <c r="G216" s="38"/>
    </row>
    <row r="217" spans="2:7" x14ac:dyDescent="0.3">
      <c r="B217" s="38" t="s">
        <v>626</v>
      </c>
      <c r="C217" s="38" t="s">
        <v>398</v>
      </c>
      <c r="D217" s="38" t="s">
        <v>627</v>
      </c>
      <c r="E217" s="38">
        <v>92</v>
      </c>
      <c r="F217" s="38">
        <v>1194</v>
      </c>
      <c r="G217" s="38"/>
    </row>
    <row r="218" spans="2:7" x14ac:dyDescent="0.3">
      <c r="B218" s="38" t="s">
        <v>628</v>
      </c>
      <c r="C218" s="38" t="s">
        <v>398</v>
      </c>
      <c r="D218" s="38" t="s">
        <v>627</v>
      </c>
      <c r="E218" s="38">
        <v>75</v>
      </c>
      <c r="F218" s="38">
        <v>1159</v>
      </c>
      <c r="G218" s="38"/>
    </row>
    <row r="219" spans="2:7" x14ac:dyDescent="0.3">
      <c r="B219" s="38" t="s">
        <v>629</v>
      </c>
      <c r="C219" s="38" t="s">
        <v>398</v>
      </c>
      <c r="D219" s="38" t="s">
        <v>627</v>
      </c>
      <c r="E219" s="38">
        <v>63</v>
      </c>
      <c r="F219" s="38">
        <v>986</v>
      </c>
      <c r="G219" s="38"/>
    </row>
    <row r="220" spans="2:7" x14ac:dyDescent="0.3">
      <c r="B220" s="38" t="s">
        <v>630</v>
      </c>
      <c r="C220" s="38" t="s">
        <v>398</v>
      </c>
      <c r="D220" s="38" t="s">
        <v>627</v>
      </c>
      <c r="E220" s="38">
        <v>11</v>
      </c>
      <c r="F220" s="38">
        <v>134</v>
      </c>
      <c r="G220" s="38"/>
    </row>
    <row r="221" spans="2:7" x14ac:dyDescent="0.3">
      <c r="B221" s="38" t="s">
        <v>631</v>
      </c>
      <c r="C221" s="38" t="s">
        <v>398</v>
      </c>
      <c r="D221" s="38" t="s">
        <v>627</v>
      </c>
      <c r="E221" s="38">
        <v>5</v>
      </c>
      <c r="F221" s="38">
        <v>62</v>
      </c>
      <c r="G221" s="38"/>
    </row>
    <row r="222" spans="2:7" x14ac:dyDescent="0.3">
      <c r="B222" s="38" t="s">
        <v>632</v>
      </c>
      <c r="C222" s="38" t="s">
        <v>398</v>
      </c>
      <c r="D222" s="38" t="s">
        <v>627</v>
      </c>
      <c r="E222" s="38">
        <v>3</v>
      </c>
      <c r="F222" s="38">
        <v>10</v>
      </c>
      <c r="G222" s="38"/>
    </row>
    <row r="223" spans="2:7" x14ac:dyDescent="0.3">
      <c r="B223" s="38" t="s">
        <v>633</v>
      </c>
      <c r="C223" s="38" t="s">
        <v>407</v>
      </c>
      <c r="D223" s="38" t="s">
        <v>627</v>
      </c>
      <c r="E223" s="38">
        <v>41</v>
      </c>
      <c r="F223" s="38">
        <v>535</v>
      </c>
      <c r="G223" s="38"/>
    </row>
    <row r="224" spans="2:7" x14ac:dyDescent="0.3">
      <c r="B224" s="38" t="s">
        <v>634</v>
      </c>
      <c r="C224" s="38" t="s">
        <v>407</v>
      </c>
      <c r="D224" s="38" t="s">
        <v>627</v>
      </c>
      <c r="E224" s="38">
        <v>4</v>
      </c>
      <c r="F224" s="38">
        <v>33</v>
      </c>
      <c r="G224" s="38"/>
    </row>
    <row r="225" spans="2:7" x14ac:dyDescent="0.3">
      <c r="B225" s="38" t="s">
        <v>635</v>
      </c>
      <c r="C225" s="38" t="s">
        <v>407</v>
      </c>
      <c r="D225" s="38" t="s">
        <v>627</v>
      </c>
      <c r="E225" s="38">
        <v>0</v>
      </c>
      <c r="F225" s="38">
        <v>0</v>
      </c>
      <c r="G225" s="38"/>
    </row>
    <row r="226" spans="2:7" x14ac:dyDescent="0.3">
      <c r="B226" s="38" t="s">
        <v>636</v>
      </c>
      <c r="C226" s="38" t="s">
        <v>407</v>
      </c>
      <c r="D226" s="38" t="s">
        <v>627</v>
      </c>
      <c r="E226" s="38">
        <v>0</v>
      </c>
      <c r="F226" s="38">
        <v>0</v>
      </c>
      <c r="G226" s="38"/>
    </row>
    <row r="227" spans="2:7" x14ac:dyDescent="0.3">
      <c r="B227" s="38" t="s">
        <v>637</v>
      </c>
      <c r="C227" s="38" t="s">
        <v>407</v>
      </c>
      <c r="D227" s="38" t="s">
        <v>627</v>
      </c>
      <c r="E227" s="38">
        <v>0</v>
      </c>
      <c r="F227" s="38">
        <v>0</v>
      </c>
      <c r="G227" s="38"/>
    </row>
    <row r="228" spans="2:7" x14ac:dyDescent="0.3">
      <c r="B228" s="38" t="s">
        <v>638</v>
      </c>
      <c r="C228" s="38" t="s">
        <v>398</v>
      </c>
      <c r="D228" s="38" t="s">
        <v>639</v>
      </c>
      <c r="E228" s="38">
        <v>90</v>
      </c>
      <c r="F228" s="38">
        <v>1324</v>
      </c>
      <c r="G228" s="38"/>
    </row>
    <row r="229" spans="2:7" x14ac:dyDescent="0.3">
      <c r="B229" s="38" t="s">
        <v>640</v>
      </c>
      <c r="C229" s="38" t="s">
        <v>398</v>
      </c>
      <c r="D229" s="38" t="s">
        <v>639</v>
      </c>
      <c r="E229" s="38">
        <v>53</v>
      </c>
      <c r="F229" s="38">
        <v>683</v>
      </c>
      <c r="G229" s="38"/>
    </row>
    <row r="230" spans="2:7" x14ac:dyDescent="0.3">
      <c r="B230" s="38" t="s">
        <v>641</v>
      </c>
      <c r="C230" s="38" t="s">
        <v>398</v>
      </c>
      <c r="D230" s="38" t="s">
        <v>639</v>
      </c>
      <c r="E230" s="38">
        <v>29</v>
      </c>
      <c r="F230" s="38">
        <v>467</v>
      </c>
      <c r="G230" s="38"/>
    </row>
    <row r="231" spans="2:7" x14ac:dyDescent="0.3">
      <c r="B231" s="38" t="s">
        <v>642</v>
      </c>
      <c r="C231" s="38" t="s">
        <v>398</v>
      </c>
      <c r="D231" s="38" t="s">
        <v>639</v>
      </c>
      <c r="E231" s="38">
        <v>28</v>
      </c>
      <c r="F231" s="38">
        <v>394</v>
      </c>
      <c r="G231" s="38"/>
    </row>
    <row r="232" spans="2:7" x14ac:dyDescent="0.3">
      <c r="B232" s="38" t="s">
        <v>643</v>
      </c>
      <c r="C232" s="38" t="s">
        <v>398</v>
      </c>
      <c r="D232" s="38" t="s">
        <v>639</v>
      </c>
      <c r="E232" s="38">
        <v>29</v>
      </c>
      <c r="F232" s="38">
        <v>392</v>
      </c>
      <c r="G232" s="38"/>
    </row>
    <row r="233" spans="2:7" x14ac:dyDescent="0.3">
      <c r="B233" s="38" t="s">
        <v>644</v>
      </c>
      <c r="C233" s="38" t="s">
        <v>398</v>
      </c>
      <c r="D233" s="38" t="s">
        <v>639</v>
      </c>
      <c r="E233" s="38">
        <v>10</v>
      </c>
      <c r="F233" s="38">
        <v>112</v>
      </c>
      <c r="G233" s="38"/>
    </row>
    <row r="234" spans="2:7" x14ac:dyDescent="0.3">
      <c r="B234" s="38" t="s">
        <v>645</v>
      </c>
      <c r="C234" s="38" t="s">
        <v>407</v>
      </c>
      <c r="D234" s="38" t="s">
        <v>639</v>
      </c>
      <c r="E234" s="38">
        <v>22</v>
      </c>
      <c r="F234" s="38">
        <v>229</v>
      </c>
      <c r="G234" s="38"/>
    </row>
    <row r="235" spans="2:7" x14ac:dyDescent="0.3">
      <c r="B235" s="38" t="s">
        <v>646</v>
      </c>
      <c r="C235" s="38" t="s">
        <v>407</v>
      </c>
      <c r="D235" s="38" t="s">
        <v>639</v>
      </c>
      <c r="E235" s="38">
        <v>9</v>
      </c>
      <c r="F235" s="38">
        <v>79</v>
      </c>
      <c r="G235" s="38"/>
    </row>
    <row r="236" spans="2:7" x14ac:dyDescent="0.3">
      <c r="B236" s="38" t="s">
        <v>647</v>
      </c>
      <c r="C236" s="38" t="s">
        <v>407</v>
      </c>
      <c r="D236" s="38" t="s">
        <v>639</v>
      </c>
      <c r="E236" s="38">
        <v>5</v>
      </c>
      <c r="F236" s="38">
        <v>37</v>
      </c>
      <c r="G236" s="38"/>
    </row>
    <row r="237" spans="2:7" x14ac:dyDescent="0.3">
      <c r="B237" s="38" t="s">
        <v>648</v>
      </c>
      <c r="C237" s="38" t="s">
        <v>407</v>
      </c>
      <c r="D237" s="38" t="s">
        <v>639</v>
      </c>
      <c r="E237" s="38">
        <v>0</v>
      </c>
      <c r="F237" s="38">
        <v>0</v>
      </c>
      <c r="G237" s="38"/>
    </row>
    <row r="238" spans="2:7" x14ac:dyDescent="0.3">
      <c r="B238" s="38" t="s">
        <v>649</v>
      </c>
      <c r="C238" s="38" t="s">
        <v>407</v>
      </c>
      <c r="D238" s="38" t="s">
        <v>639</v>
      </c>
      <c r="E238" s="38">
        <v>0</v>
      </c>
      <c r="F238" s="38">
        <v>0</v>
      </c>
      <c r="G238" s="38"/>
    </row>
    <row r="239" spans="2:7" x14ac:dyDescent="0.3">
      <c r="B239" s="38" t="s">
        <v>650</v>
      </c>
      <c r="C239" s="38" t="s">
        <v>398</v>
      </c>
      <c r="D239" s="38" t="s">
        <v>651</v>
      </c>
      <c r="E239" s="38">
        <v>84</v>
      </c>
      <c r="F239" s="38">
        <v>1330</v>
      </c>
      <c r="G239" s="38"/>
    </row>
    <row r="240" spans="2:7" x14ac:dyDescent="0.3">
      <c r="B240" s="38" t="s">
        <v>652</v>
      </c>
      <c r="C240" s="38" t="s">
        <v>398</v>
      </c>
      <c r="D240" s="38" t="s">
        <v>651</v>
      </c>
      <c r="E240" s="38">
        <v>76</v>
      </c>
      <c r="F240" s="38">
        <v>1060</v>
      </c>
      <c r="G240" s="38"/>
    </row>
    <row r="241" spans="2:7" x14ac:dyDescent="0.3">
      <c r="B241" s="38" t="s">
        <v>653</v>
      </c>
      <c r="C241" s="38" t="s">
        <v>398</v>
      </c>
      <c r="D241" s="38" t="s">
        <v>651</v>
      </c>
      <c r="E241" s="38">
        <v>29</v>
      </c>
      <c r="F241" s="38">
        <v>413</v>
      </c>
      <c r="G241" s="38"/>
    </row>
    <row r="242" spans="2:7" x14ac:dyDescent="0.3">
      <c r="B242" s="38" t="s">
        <v>654</v>
      </c>
      <c r="C242" s="38" t="s">
        <v>398</v>
      </c>
      <c r="D242" s="38" t="s">
        <v>651</v>
      </c>
      <c r="E242" s="38">
        <v>19</v>
      </c>
      <c r="F242" s="38">
        <v>215</v>
      </c>
      <c r="G242" s="38"/>
    </row>
    <row r="243" spans="2:7" x14ac:dyDescent="0.3">
      <c r="B243" s="38" t="s">
        <v>655</v>
      </c>
      <c r="C243" s="38" t="s">
        <v>398</v>
      </c>
      <c r="D243" s="38" t="s">
        <v>651</v>
      </c>
      <c r="E243" s="38">
        <v>16</v>
      </c>
      <c r="F243" s="38">
        <v>171</v>
      </c>
      <c r="G243" s="38"/>
    </row>
    <row r="244" spans="2:7" x14ac:dyDescent="0.3">
      <c r="B244" s="38" t="s">
        <v>656</v>
      </c>
      <c r="C244" s="38" t="s">
        <v>398</v>
      </c>
      <c r="D244" s="38" t="s">
        <v>651</v>
      </c>
      <c r="E244" s="38">
        <v>7</v>
      </c>
      <c r="F244" s="38">
        <v>101</v>
      </c>
      <c r="G244" s="38"/>
    </row>
    <row r="245" spans="2:7" x14ac:dyDescent="0.3">
      <c r="B245" s="38" t="s">
        <v>657</v>
      </c>
      <c r="C245" s="38" t="s">
        <v>398</v>
      </c>
      <c r="D245" s="38" t="s">
        <v>651</v>
      </c>
      <c r="E245" s="38">
        <v>11</v>
      </c>
      <c r="F245" s="38">
        <v>84</v>
      </c>
      <c r="G245" s="38"/>
    </row>
    <row r="246" spans="2:7" x14ac:dyDescent="0.3">
      <c r="B246" s="38" t="s">
        <v>658</v>
      </c>
      <c r="C246" s="38" t="s">
        <v>407</v>
      </c>
      <c r="D246" s="38" t="s">
        <v>651</v>
      </c>
      <c r="E246" s="38">
        <v>37</v>
      </c>
      <c r="F246" s="38">
        <v>331</v>
      </c>
      <c r="G246" s="38"/>
    </row>
    <row r="247" spans="2:7" x14ac:dyDescent="0.3">
      <c r="B247" s="38" t="s">
        <v>659</v>
      </c>
      <c r="C247" s="38" t="s">
        <v>407</v>
      </c>
      <c r="D247" s="38" t="s">
        <v>651</v>
      </c>
      <c r="E247" s="38">
        <v>14</v>
      </c>
      <c r="F247" s="38">
        <v>104</v>
      </c>
      <c r="G247" s="38"/>
    </row>
    <row r="248" spans="2:7" x14ac:dyDescent="0.3">
      <c r="B248" s="38" t="s">
        <v>660</v>
      </c>
      <c r="C248" s="38" t="s">
        <v>407</v>
      </c>
      <c r="D248" s="38" t="s">
        <v>651</v>
      </c>
      <c r="E248" s="38">
        <v>5</v>
      </c>
      <c r="F248" s="38">
        <v>48</v>
      </c>
      <c r="G248" s="38"/>
    </row>
    <row r="249" spans="2:7" x14ac:dyDescent="0.3">
      <c r="B249" s="38" t="s">
        <v>661</v>
      </c>
      <c r="C249" s="38" t="s">
        <v>407</v>
      </c>
      <c r="D249" s="38" t="s">
        <v>651</v>
      </c>
      <c r="E249" s="38">
        <v>0</v>
      </c>
      <c r="F249" s="38">
        <v>0</v>
      </c>
      <c r="G249" s="38"/>
    </row>
    <row r="250" spans="2:7" x14ac:dyDescent="0.3">
      <c r="B250" s="38" t="s">
        <v>662</v>
      </c>
      <c r="C250" s="38" t="s">
        <v>407</v>
      </c>
      <c r="D250" s="38" t="s">
        <v>651</v>
      </c>
      <c r="E250" s="38">
        <v>0</v>
      </c>
      <c r="F250" s="38">
        <v>0</v>
      </c>
      <c r="G250" s="38"/>
    </row>
    <row r="251" spans="2:7" x14ac:dyDescent="0.3">
      <c r="B251" s="38" t="s">
        <v>663</v>
      </c>
      <c r="C251" s="38" t="s">
        <v>398</v>
      </c>
      <c r="D251" s="38" t="s">
        <v>664</v>
      </c>
      <c r="E251" s="38">
        <v>78</v>
      </c>
      <c r="F251" s="38">
        <v>1185</v>
      </c>
      <c r="G251" s="38"/>
    </row>
    <row r="252" spans="2:7" x14ac:dyDescent="0.3">
      <c r="B252" s="38" t="s">
        <v>665</v>
      </c>
      <c r="C252" s="38" t="s">
        <v>398</v>
      </c>
      <c r="D252" s="38" t="s">
        <v>664</v>
      </c>
      <c r="E252" s="38">
        <v>69</v>
      </c>
      <c r="F252" s="38">
        <v>762</v>
      </c>
      <c r="G252" s="38"/>
    </row>
    <row r="253" spans="2:7" x14ac:dyDescent="0.3">
      <c r="B253" s="38" t="s">
        <v>666</v>
      </c>
      <c r="C253" s="38" t="s">
        <v>398</v>
      </c>
      <c r="D253" s="38" t="s">
        <v>664</v>
      </c>
      <c r="E253" s="38">
        <v>61</v>
      </c>
      <c r="F253" s="38">
        <v>789</v>
      </c>
      <c r="G253" s="38"/>
    </row>
    <row r="254" spans="2:7" x14ac:dyDescent="0.3">
      <c r="B254" s="38" t="s">
        <v>667</v>
      </c>
      <c r="C254" s="38" t="s">
        <v>398</v>
      </c>
      <c r="D254" s="38" t="s">
        <v>664</v>
      </c>
      <c r="E254" s="38">
        <v>32</v>
      </c>
      <c r="F254" s="38">
        <v>349</v>
      </c>
      <c r="G254" s="38"/>
    </row>
    <row r="255" spans="2:7" x14ac:dyDescent="0.3">
      <c r="B255" s="38" t="s">
        <v>668</v>
      </c>
      <c r="C255" s="38" t="s">
        <v>398</v>
      </c>
      <c r="D255" s="38" t="s">
        <v>664</v>
      </c>
      <c r="E255" s="38">
        <v>37</v>
      </c>
      <c r="F255" s="38">
        <v>399</v>
      </c>
      <c r="G255" s="38"/>
    </row>
    <row r="256" spans="2:7" x14ac:dyDescent="0.3">
      <c r="B256" s="38" t="s">
        <v>669</v>
      </c>
      <c r="C256" s="38" t="s">
        <v>398</v>
      </c>
      <c r="D256" s="38" t="s">
        <v>664</v>
      </c>
      <c r="E256" s="38">
        <v>3</v>
      </c>
      <c r="F256" s="38">
        <v>59</v>
      </c>
      <c r="G256" s="38"/>
    </row>
    <row r="257" spans="2:7" x14ac:dyDescent="0.3">
      <c r="B257" s="38" t="s">
        <v>670</v>
      </c>
      <c r="C257" s="38" t="s">
        <v>398</v>
      </c>
      <c r="D257" s="38" t="s">
        <v>664</v>
      </c>
      <c r="E257" s="38">
        <v>3</v>
      </c>
      <c r="F257" s="38">
        <v>54</v>
      </c>
      <c r="G257" s="38"/>
    </row>
    <row r="258" spans="2:7" x14ac:dyDescent="0.3">
      <c r="B258" s="38" t="s">
        <v>671</v>
      </c>
      <c r="C258" s="38" t="s">
        <v>398</v>
      </c>
      <c r="D258" s="38" t="s">
        <v>664</v>
      </c>
      <c r="E258" s="38">
        <v>0</v>
      </c>
      <c r="F258" s="38">
        <v>0</v>
      </c>
      <c r="G258" s="38"/>
    </row>
    <row r="259" spans="2:7" x14ac:dyDescent="0.3">
      <c r="B259" s="38" t="s">
        <v>672</v>
      </c>
      <c r="C259" s="38" t="s">
        <v>407</v>
      </c>
      <c r="D259" s="38" t="s">
        <v>664</v>
      </c>
      <c r="E259" s="38">
        <v>35</v>
      </c>
      <c r="F259" s="38">
        <v>401</v>
      </c>
      <c r="G259" s="38"/>
    </row>
    <row r="260" spans="2:7" x14ac:dyDescent="0.3">
      <c r="B260" s="38" t="s">
        <v>673</v>
      </c>
      <c r="C260" s="38" t="s">
        <v>407</v>
      </c>
      <c r="D260" s="38" t="s">
        <v>664</v>
      </c>
      <c r="E260" s="38">
        <v>14</v>
      </c>
      <c r="F260" s="38">
        <v>119</v>
      </c>
      <c r="G260" s="38"/>
    </row>
    <row r="261" spans="2:7" x14ac:dyDescent="0.3">
      <c r="B261" s="38" t="s">
        <v>674</v>
      </c>
      <c r="C261" s="38" t="s">
        <v>407</v>
      </c>
      <c r="D261" s="38" t="s">
        <v>664</v>
      </c>
      <c r="E261" s="38">
        <v>2</v>
      </c>
      <c r="F261" s="38">
        <v>17</v>
      </c>
      <c r="G261" s="38"/>
    </row>
    <row r="262" spans="2:7" x14ac:dyDescent="0.3">
      <c r="B262" s="38" t="s">
        <v>675</v>
      </c>
      <c r="C262" s="38" t="s">
        <v>407</v>
      </c>
      <c r="D262" s="38" t="s">
        <v>664</v>
      </c>
      <c r="E262" s="38">
        <v>0</v>
      </c>
      <c r="F262" s="38">
        <v>0</v>
      </c>
      <c r="G262" s="38"/>
    </row>
    <row r="263" spans="2:7" x14ac:dyDescent="0.3">
      <c r="B263" s="38" t="s">
        <v>676</v>
      </c>
      <c r="C263" s="38" t="s">
        <v>407</v>
      </c>
      <c r="D263" s="38" t="s">
        <v>664</v>
      </c>
      <c r="E263" s="38">
        <v>0</v>
      </c>
      <c r="F263" s="38">
        <v>4</v>
      </c>
      <c r="G263" s="38"/>
    </row>
    <row r="264" spans="2:7" x14ac:dyDescent="0.3">
      <c r="B264" s="38" t="s">
        <v>677</v>
      </c>
      <c r="C264" s="38" t="s">
        <v>398</v>
      </c>
      <c r="D264" s="38" t="s">
        <v>678</v>
      </c>
      <c r="E264" s="38">
        <v>65</v>
      </c>
      <c r="F264" s="38">
        <v>1056</v>
      </c>
      <c r="G264" s="38"/>
    </row>
    <row r="265" spans="2:7" x14ac:dyDescent="0.3">
      <c r="B265" s="38" t="s">
        <v>679</v>
      </c>
      <c r="C265" s="38" t="s">
        <v>398</v>
      </c>
      <c r="D265" s="38" t="s">
        <v>678</v>
      </c>
      <c r="E265" s="38">
        <v>78</v>
      </c>
      <c r="F265" s="38">
        <v>1055</v>
      </c>
      <c r="G265" s="38"/>
    </row>
    <row r="266" spans="2:7" x14ac:dyDescent="0.3">
      <c r="B266" s="38" t="s">
        <v>680</v>
      </c>
      <c r="C266" s="38" t="s">
        <v>398</v>
      </c>
      <c r="D266" s="38" t="s">
        <v>678</v>
      </c>
      <c r="E266" s="38">
        <v>48</v>
      </c>
      <c r="F266" s="38">
        <v>597</v>
      </c>
      <c r="G266" s="38"/>
    </row>
    <row r="267" spans="2:7" x14ac:dyDescent="0.3">
      <c r="B267" s="38" t="s">
        <v>681</v>
      </c>
      <c r="C267" s="38" t="s">
        <v>398</v>
      </c>
      <c r="D267" s="38" t="s">
        <v>678</v>
      </c>
      <c r="E267" s="38">
        <v>40</v>
      </c>
      <c r="F267" s="38">
        <v>543</v>
      </c>
      <c r="G267" s="38"/>
    </row>
    <row r="268" spans="2:7" x14ac:dyDescent="0.3">
      <c r="B268" s="38" t="s">
        <v>682</v>
      </c>
      <c r="C268" s="38" t="s">
        <v>398</v>
      </c>
      <c r="D268" s="38" t="s">
        <v>678</v>
      </c>
      <c r="E268" s="38">
        <v>8</v>
      </c>
      <c r="F268" s="38">
        <v>72</v>
      </c>
      <c r="G268" s="38"/>
    </row>
    <row r="269" spans="2:7" x14ac:dyDescent="0.3">
      <c r="B269" s="38" t="s">
        <v>683</v>
      </c>
      <c r="C269" s="38" t="s">
        <v>398</v>
      </c>
      <c r="D269" s="38" t="s">
        <v>678</v>
      </c>
      <c r="E269" s="38">
        <v>8</v>
      </c>
      <c r="F269" s="38">
        <v>73</v>
      </c>
      <c r="G269" s="38"/>
    </row>
    <row r="270" spans="2:7" x14ac:dyDescent="0.3">
      <c r="B270" s="38" t="s">
        <v>684</v>
      </c>
      <c r="C270" s="38" t="s">
        <v>407</v>
      </c>
      <c r="D270" s="38" t="s">
        <v>678</v>
      </c>
      <c r="E270" s="38">
        <v>38</v>
      </c>
      <c r="F270" s="38">
        <v>425</v>
      </c>
      <c r="G270" s="38"/>
    </row>
    <row r="271" spans="2:7" x14ac:dyDescent="0.3">
      <c r="B271" s="38" t="s">
        <v>685</v>
      </c>
      <c r="C271" s="38" t="s">
        <v>407</v>
      </c>
      <c r="D271" s="38" t="s">
        <v>678</v>
      </c>
      <c r="E271" s="38">
        <v>38</v>
      </c>
      <c r="F271" s="38">
        <v>385</v>
      </c>
      <c r="G271" s="38"/>
    </row>
    <row r="272" spans="2:7" x14ac:dyDescent="0.3">
      <c r="B272" s="38" t="s">
        <v>686</v>
      </c>
      <c r="C272" s="38" t="s">
        <v>407</v>
      </c>
      <c r="D272" s="38" t="s">
        <v>678</v>
      </c>
      <c r="E272" s="38">
        <v>8</v>
      </c>
      <c r="F272" s="38">
        <v>38</v>
      </c>
      <c r="G272" s="38"/>
    </row>
    <row r="273" spans="2:7" x14ac:dyDescent="0.3">
      <c r="B273" s="38" t="s">
        <v>687</v>
      </c>
      <c r="C273" s="38" t="s">
        <v>407</v>
      </c>
      <c r="D273" s="38" t="s">
        <v>678</v>
      </c>
      <c r="E273" s="38">
        <v>5</v>
      </c>
      <c r="F273" s="38">
        <v>21</v>
      </c>
      <c r="G273" s="38"/>
    </row>
    <row r="274" spans="2:7" x14ac:dyDescent="0.3">
      <c r="B274" s="38" t="s">
        <v>688</v>
      </c>
      <c r="C274" s="38" t="s">
        <v>407</v>
      </c>
      <c r="D274" s="38" t="s">
        <v>678</v>
      </c>
      <c r="E274" s="38">
        <v>0</v>
      </c>
      <c r="F274" s="38">
        <v>0</v>
      </c>
      <c r="G274" s="38"/>
    </row>
    <row r="275" spans="2:7" x14ac:dyDescent="0.3">
      <c r="B275" s="38" t="s">
        <v>689</v>
      </c>
      <c r="C275" s="38" t="s">
        <v>398</v>
      </c>
      <c r="D275" s="38" t="s">
        <v>690</v>
      </c>
      <c r="E275" s="38">
        <v>73</v>
      </c>
      <c r="F275" s="38">
        <v>967</v>
      </c>
      <c r="G275" s="38"/>
    </row>
    <row r="276" spans="2:7" x14ac:dyDescent="0.3">
      <c r="B276" s="38" t="s">
        <v>691</v>
      </c>
      <c r="C276" s="38" t="s">
        <v>398</v>
      </c>
      <c r="D276" s="38" t="s">
        <v>690</v>
      </c>
      <c r="E276" s="38">
        <v>57</v>
      </c>
      <c r="F276" s="38">
        <v>854</v>
      </c>
      <c r="G276" s="38"/>
    </row>
    <row r="277" spans="2:7" x14ac:dyDescent="0.3">
      <c r="B277" s="38" t="s">
        <v>692</v>
      </c>
      <c r="C277" s="38" t="s">
        <v>398</v>
      </c>
      <c r="D277" s="38" t="s">
        <v>690</v>
      </c>
      <c r="E277" s="38">
        <v>47</v>
      </c>
      <c r="F277" s="38">
        <v>611</v>
      </c>
      <c r="G277" s="38"/>
    </row>
    <row r="278" spans="2:7" x14ac:dyDescent="0.3">
      <c r="B278" s="38" t="s">
        <v>693</v>
      </c>
      <c r="C278" s="38" t="s">
        <v>398</v>
      </c>
      <c r="D278" s="38" t="s">
        <v>690</v>
      </c>
      <c r="E278" s="38">
        <v>15</v>
      </c>
      <c r="F278" s="38">
        <v>202</v>
      </c>
      <c r="G278" s="38"/>
    </row>
    <row r="279" spans="2:7" x14ac:dyDescent="0.3">
      <c r="B279" s="38" t="s">
        <v>694</v>
      </c>
      <c r="C279" s="38" t="s">
        <v>398</v>
      </c>
      <c r="D279" s="38" t="s">
        <v>690</v>
      </c>
      <c r="E279" s="38">
        <v>10</v>
      </c>
      <c r="F279" s="38">
        <v>126</v>
      </c>
      <c r="G279" s="38"/>
    </row>
    <row r="280" spans="2:7" x14ac:dyDescent="0.3">
      <c r="B280" s="38" t="s">
        <v>695</v>
      </c>
      <c r="C280" s="38" t="s">
        <v>398</v>
      </c>
      <c r="D280" s="38" t="s">
        <v>690</v>
      </c>
      <c r="E280" s="38">
        <v>6</v>
      </c>
      <c r="F280" s="38">
        <v>50</v>
      </c>
      <c r="G280" s="38"/>
    </row>
    <row r="281" spans="2:7" x14ac:dyDescent="0.3">
      <c r="B281" s="38" t="s">
        <v>696</v>
      </c>
      <c r="C281" s="38" t="s">
        <v>407</v>
      </c>
      <c r="D281" s="38" t="s">
        <v>690</v>
      </c>
      <c r="E281" s="38">
        <v>79</v>
      </c>
      <c r="F281" s="38">
        <v>863</v>
      </c>
      <c r="G281" s="38"/>
    </row>
    <row r="282" spans="2:7" x14ac:dyDescent="0.3">
      <c r="B282" s="38" t="s">
        <v>697</v>
      </c>
      <c r="C282" s="38" t="s">
        <v>407</v>
      </c>
      <c r="D282" s="38" t="s">
        <v>690</v>
      </c>
      <c r="E282" s="38">
        <v>16</v>
      </c>
      <c r="F282" s="38">
        <v>142</v>
      </c>
      <c r="G282" s="38"/>
    </row>
    <row r="283" spans="2:7" x14ac:dyDescent="0.3">
      <c r="B283" s="38" t="s">
        <v>698</v>
      </c>
      <c r="C283" s="38" t="s">
        <v>407</v>
      </c>
      <c r="D283" s="38" t="s">
        <v>690</v>
      </c>
      <c r="E283" s="38">
        <v>0</v>
      </c>
      <c r="F283" s="38">
        <v>0</v>
      </c>
      <c r="G283" s="38"/>
    </row>
    <row r="284" spans="2:7" x14ac:dyDescent="0.3">
      <c r="B284" s="38" t="s">
        <v>699</v>
      </c>
      <c r="C284" s="38" t="s">
        <v>407</v>
      </c>
      <c r="D284" s="38" t="s">
        <v>690</v>
      </c>
      <c r="E284" s="38">
        <v>0</v>
      </c>
      <c r="F284" s="38">
        <v>0</v>
      </c>
      <c r="G284" s="38"/>
    </row>
    <row r="285" spans="2:7" x14ac:dyDescent="0.3">
      <c r="B285" s="38" t="s">
        <v>700</v>
      </c>
      <c r="C285" s="38" t="s">
        <v>407</v>
      </c>
      <c r="D285" s="38" t="s">
        <v>690</v>
      </c>
      <c r="E285" s="38">
        <v>0</v>
      </c>
      <c r="F285" s="38">
        <v>0</v>
      </c>
      <c r="G285" s="38"/>
    </row>
    <row r="286" spans="2:7" x14ac:dyDescent="0.3">
      <c r="B286" s="38" t="s">
        <v>701</v>
      </c>
      <c r="C286" s="38" t="s">
        <v>398</v>
      </c>
      <c r="D286" s="38" t="s">
        <v>702</v>
      </c>
      <c r="E286" s="38">
        <v>66</v>
      </c>
      <c r="F286" s="38">
        <v>977</v>
      </c>
      <c r="G286" s="38"/>
    </row>
    <row r="287" spans="2:7" x14ac:dyDescent="0.3">
      <c r="B287" s="38" t="s">
        <v>703</v>
      </c>
      <c r="C287" s="38" t="s">
        <v>398</v>
      </c>
      <c r="D287" s="38" t="s">
        <v>702</v>
      </c>
      <c r="E287" s="38">
        <v>67</v>
      </c>
      <c r="F287" s="38">
        <v>827</v>
      </c>
      <c r="G287" s="38"/>
    </row>
    <row r="288" spans="2:7" x14ac:dyDescent="0.3">
      <c r="B288" s="38" t="s">
        <v>704</v>
      </c>
      <c r="C288" s="38" t="s">
        <v>398</v>
      </c>
      <c r="D288" s="38" t="s">
        <v>702</v>
      </c>
      <c r="E288" s="38">
        <v>50</v>
      </c>
      <c r="F288" s="38">
        <v>754</v>
      </c>
      <c r="G288" s="38"/>
    </row>
    <row r="289" spans="2:7" x14ac:dyDescent="0.3">
      <c r="B289" s="38" t="s">
        <v>705</v>
      </c>
      <c r="C289" s="38" t="s">
        <v>398</v>
      </c>
      <c r="D289" s="38" t="s">
        <v>702</v>
      </c>
      <c r="E289" s="38">
        <v>47</v>
      </c>
      <c r="F289" s="38">
        <v>641</v>
      </c>
      <c r="G289" s="38"/>
    </row>
    <row r="290" spans="2:7" x14ac:dyDescent="0.3">
      <c r="B290" s="38" t="s">
        <v>706</v>
      </c>
      <c r="C290" s="38" t="s">
        <v>398</v>
      </c>
      <c r="D290" s="38" t="s">
        <v>702</v>
      </c>
      <c r="E290" s="38">
        <v>9</v>
      </c>
      <c r="F290" s="38">
        <v>122</v>
      </c>
      <c r="G290" s="38"/>
    </row>
    <row r="291" spans="2:7" x14ac:dyDescent="0.3">
      <c r="B291" s="38" t="s">
        <v>707</v>
      </c>
      <c r="C291" s="38" t="s">
        <v>407</v>
      </c>
      <c r="D291" s="38" t="s">
        <v>702</v>
      </c>
      <c r="E291" s="38">
        <v>26</v>
      </c>
      <c r="F291" s="38">
        <v>219</v>
      </c>
      <c r="G291" s="38"/>
    </row>
    <row r="292" spans="2:7" x14ac:dyDescent="0.3">
      <c r="B292" s="38" t="s">
        <v>708</v>
      </c>
      <c r="C292" s="38" t="s">
        <v>407</v>
      </c>
      <c r="D292" s="38" t="s">
        <v>702</v>
      </c>
      <c r="E292" s="38">
        <v>30</v>
      </c>
      <c r="F292" s="38">
        <v>258</v>
      </c>
      <c r="G292" s="38"/>
    </row>
    <row r="293" spans="2:7" x14ac:dyDescent="0.3">
      <c r="B293" s="38" t="s">
        <v>709</v>
      </c>
      <c r="C293" s="38" t="s">
        <v>407</v>
      </c>
      <c r="D293" s="38" t="s">
        <v>702</v>
      </c>
      <c r="E293" s="38">
        <v>4</v>
      </c>
      <c r="F293" s="38">
        <v>28</v>
      </c>
      <c r="G293" s="38"/>
    </row>
    <row r="294" spans="2:7" x14ac:dyDescent="0.3">
      <c r="B294" s="38" t="s">
        <v>710</v>
      </c>
      <c r="C294" s="38" t="s">
        <v>407</v>
      </c>
      <c r="D294" s="38" t="s">
        <v>702</v>
      </c>
      <c r="E294" s="38">
        <v>0</v>
      </c>
      <c r="F294" s="38">
        <v>0</v>
      </c>
      <c r="G294" s="38"/>
    </row>
    <row r="295" spans="2:7" x14ac:dyDescent="0.3">
      <c r="B295" s="38" t="s">
        <v>711</v>
      </c>
      <c r="C295" s="38" t="s">
        <v>407</v>
      </c>
      <c r="D295" s="38" t="s">
        <v>702</v>
      </c>
      <c r="E295" s="38">
        <v>0</v>
      </c>
      <c r="F295" s="38">
        <v>0</v>
      </c>
      <c r="G295" s="38"/>
    </row>
    <row r="296" spans="2:7" x14ac:dyDescent="0.3">
      <c r="B296" s="38" t="s">
        <v>712</v>
      </c>
      <c r="C296" s="38" t="s">
        <v>398</v>
      </c>
      <c r="D296" s="38" t="s">
        <v>713</v>
      </c>
      <c r="E296" s="38">
        <v>89</v>
      </c>
      <c r="F296" s="38">
        <v>1328</v>
      </c>
      <c r="G296" s="38"/>
    </row>
    <row r="297" spans="2:7" x14ac:dyDescent="0.3">
      <c r="B297" s="38" t="s">
        <v>714</v>
      </c>
      <c r="C297" s="38" t="s">
        <v>398</v>
      </c>
      <c r="D297" s="38" t="s">
        <v>713</v>
      </c>
      <c r="E297" s="38">
        <v>74</v>
      </c>
      <c r="F297" s="38">
        <v>956</v>
      </c>
      <c r="G297" s="38"/>
    </row>
    <row r="298" spans="2:7" x14ac:dyDescent="0.3">
      <c r="B298" s="38" t="s">
        <v>715</v>
      </c>
      <c r="C298" s="38" t="s">
        <v>398</v>
      </c>
      <c r="D298" s="38" t="s">
        <v>713</v>
      </c>
      <c r="E298" s="38">
        <v>50</v>
      </c>
      <c r="F298" s="38">
        <v>548</v>
      </c>
      <c r="G298" s="38"/>
    </row>
    <row r="299" spans="2:7" x14ac:dyDescent="0.3">
      <c r="B299" s="38" t="s">
        <v>716</v>
      </c>
      <c r="C299" s="38" t="s">
        <v>398</v>
      </c>
      <c r="D299" s="38" t="s">
        <v>713</v>
      </c>
      <c r="E299" s="38">
        <v>37</v>
      </c>
      <c r="F299" s="38">
        <v>327</v>
      </c>
      <c r="G299" s="38"/>
    </row>
    <row r="300" spans="2:7" x14ac:dyDescent="0.3">
      <c r="B300" s="38" t="s">
        <v>717</v>
      </c>
      <c r="C300" s="38" t="s">
        <v>398</v>
      </c>
      <c r="D300" s="38" t="s">
        <v>713</v>
      </c>
      <c r="E300" s="38">
        <v>17</v>
      </c>
      <c r="F300" s="38">
        <v>184</v>
      </c>
      <c r="G300" s="38"/>
    </row>
    <row r="301" spans="2:7" x14ac:dyDescent="0.3">
      <c r="B301" s="38" t="s">
        <v>718</v>
      </c>
      <c r="C301" s="38" t="s">
        <v>398</v>
      </c>
      <c r="D301" s="38" t="s">
        <v>713</v>
      </c>
      <c r="E301" s="38">
        <v>12</v>
      </c>
      <c r="F301" s="38">
        <v>84</v>
      </c>
      <c r="G301" s="38"/>
    </row>
    <row r="302" spans="2:7" x14ac:dyDescent="0.3">
      <c r="B302" s="38" t="s">
        <v>719</v>
      </c>
      <c r="C302" s="38" t="s">
        <v>398</v>
      </c>
      <c r="D302" s="38" t="s">
        <v>713</v>
      </c>
      <c r="E302" s="38">
        <v>2</v>
      </c>
      <c r="F302" s="38">
        <v>17</v>
      </c>
      <c r="G302" s="38"/>
    </row>
    <row r="303" spans="2:7" x14ac:dyDescent="0.3">
      <c r="B303" s="38" t="s">
        <v>720</v>
      </c>
      <c r="C303" s="38" t="s">
        <v>407</v>
      </c>
      <c r="D303" s="38" t="s">
        <v>713</v>
      </c>
      <c r="E303" s="38">
        <v>22</v>
      </c>
      <c r="F303" s="38">
        <v>223</v>
      </c>
      <c r="G303" s="38"/>
    </row>
    <row r="304" spans="2:7" x14ac:dyDescent="0.3">
      <c r="B304" s="38" t="s">
        <v>721</v>
      </c>
      <c r="C304" s="38" t="s">
        <v>407</v>
      </c>
      <c r="D304" s="38" t="s">
        <v>713</v>
      </c>
      <c r="E304" s="38">
        <v>15</v>
      </c>
      <c r="F304" s="38">
        <v>114</v>
      </c>
      <c r="G304" s="38"/>
    </row>
    <row r="305" spans="2:7" x14ac:dyDescent="0.3">
      <c r="B305" s="38" t="s">
        <v>722</v>
      </c>
      <c r="C305" s="38" t="s">
        <v>407</v>
      </c>
      <c r="D305" s="38" t="s">
        <v>713</v>
      </c>
      <c r="E305" s="38">
        <v>11</v>
      </c>
      <c r="F305" s="38">
        <v>96</v>
      </c>
      <c r="G305" s="38"/>
    </row>
    <row r="306" spans="2:7" x14ac:dyDescent="0.3">
      <c r="B306" s="38" t="s">
        <v>723</v>
      </c>
      <c r="C306" s="38" t="s">
        <v>407</v>
      </c>
      <c r="D306" s="38" t="s">
        <v>713</v>
      </c>
      <c r="E306" s="38">
        <v>0</v>
      </c>
      <c r="F306" s="38">
        <v>0</v>
      </c>
      <c r="G306" s="38"/>
    </row>
    <row r="307" spans="2:7" x14ac:dyDescent="0.3">
      <c r="B307" s="38" t="s">
        <v>724</v>
      </c>
      <c r="C307" s="38" t="s">
        <v>407</v>
      </c>
      <c r="D307" s="38" t="s">
        <v>713</v>
      </c>
      <c r="E307" s="38">
        <v>0</v>
      </c>
      <c r="F307" s="38">
        <v>0</v>
      </c>
      <c r="G307" s="38"/>
    </row>
    <row r="308" spans="2:7" x14ac:dyDescent="0.3">
      <c r="B308" s="38" t="s">
        <v>725</v>
      </c>
      <c r="C308" s="38" t="s">
        <v>398</v>
      </c>
      <c r="D308" s="38" t="s">
        <v>726</v>
      </c>
      <c r="E308" s="38">
        <v>66</v>
      </c>
      <c r="F308" s="38">
        <v>971</v>
      </c>
      <c r="G308" s="38"/>
    </row>
    <row r="309" spans="2:7" x14ac:dyDescent="0.3">
      <c r="B309" s="38" t="s">
        <v>727</v>
      </c>
      <c r="C309" s="38" t="s">
        <v>398</v>
      </c>
      <c r="D309" s="38" t="s">
        <v>726</v>
      </c>
      <c r="E309" s="38">
        <v>41</v>
      </c>
      <c r="F309" s="38">
        <v>499</v>
      </c>
      <c r="G309" s="38"/>
    </row>
    <row r="310" spans="2:7" x14ac:dyDescent="0.3">
      <c r="B310" s="38" t="s">
        <v>728</v>
      </c>
      <c r="C310" s="38" t="s">
        <v>398</v>
      </c>
      <c r="D310" s="38" t="s">
        <v>726</v>
      </c>
      <c r="E310" s="38">
        <v>25</v>
      </c>
      <c r="F310" s="38">
        <v>371</v>
      </c>
      <c r="G310" s="38"/>
    </row>
    <row r="311" spans="2:7" x14ac:dyDescent="0.3">
      <c r="B311" s="38" t="s">
        <v>729</v>
      </c>
      <c r="C311" s="38" t="s">
        <v>398</v>
      </c>
      <c r="D311" s="38" t="s">
        <v>726</v>
      </c>
      <c r="E311" s="38">
        <v>28</v>
      </c>
      <c r="F311" s="38">
        <v>324</v>
      </c>
      <c r="G311" s="38"/>
    </row>
    <row r="312" spans="2:7" x14ac:dyDescent="0.3">
      <c r="B312" s="38" t="s">
        <v>730</v>
      </c>
      <c r="C312" s="38" t="s">
        <v>398</v>
      </c>
      <c r="D312" s="38" t="s">
        <v>726</v>
      </c>
      <c r="E312" s="38">
        <v>12</v>
      </c>
      <c r="F312" s="38">
        <v>188</v>
      </c>
      <c r="G312" s="38"/>
    </row>
    <row r="313" spans="2:7" x14ac:dyDescent="0.3">
      <c r="B313" s="38" t="s">
        <v>731</v>
      </c>
      <c r="C313" s="38" t="s">
        <v>398</v>
      </c>
      <c r="D313" s="38" t="s">
        <v>726</v>
      </c>
      <c r="E313" s="38">
        <v>21</v>
      </c>
      <c r="F313" s="38">
        <v>198</v>
      </c>
      <c r="G313" s="38"/>
    </row>
    <row r="314" spans="2:7" x14ac:dyDescent="0.3">
      <c r="B314" s="38" t="s">
        <v>732</v>
      </c>
      <c r="C314" s="38" t="s">
        <v>398</v>
      </c>
      <c r="D314" s="38" t="s">
        <v>726</v>
      </c>
      <c r="E314" s="38">
        <v>4</v>
      </c>
      <c r="F314" s="38">
        <v>42</v>
      </c>
      <c r="G314" s="38"/>
    </row>
    <row r="315" spans="2:7" x14ac:dyDescent="0.3">
      <c r="B315" s="38" t="s">
        <v>733</v>
      </c>
      <c r="C315" s="38" t="s">
        <v>407</v>
      </c>
      <c r="D315" s="38" t="s">
        <v>726</v>
      </c>
      <c r="E315" s="38">
        <v>26</v>
      </c>
      <c r="F315" s="38">
        <v>290</v>
      </c>
      <c r="G315" s="38"/>
    </row>
    <row r="316" spans="2:7" x14ac:dyDescent="0.3">
      <c r="B316" s="38" t="s">
        <v>734</v>
      </c>
      <c r="C316" s="38" t="s">
        <v>407</v>
      </c>
      <c r="D316" s="38" t="s">
        <v>726</v>
      </c>
      <c r="E316" s="38">
        <v>13</v>
      </c>
      <c r="F316" s="38">
        <v>100</v>
      </c>
      <c r="G316" s="38"/>
    </row>
    <row r="317" spans="2:7" x14ac:dyDescent="0.3">
      <c r="B317" s="38" t="s">
        <v>735</v>
      </c>
      <c r="C317" s="38" t="s">
        <v>407</v>
      </c>
      <c r="D317" s="38" t="s">
        <v>726</v>
      </c>
      <c r="E317" s="38">
        <v>6</v>
      </c>
      <c r="F317" s="38">
        <v>37</v>
      </c>
      <c r="G317" s="38"/>
    </row>
    <row r="318" spans="2:7" x14ac:dyDescent="0.3">
      <c r="B318" s="38" t="s">
        <v>736</v>
      </c>
      <c r="C318" s="38" t="s">
        <v>407</v>
      </c>
      <c r="D318" s="38" t="s">
        <v>726</v>
      </c>
      <c r="E318" s="38">
        <v>2</v>
      </c>
      <c r="F318" s="38">
        <v>24</v>
      </c>
      <c r="G318" s="38"/>
    </row>
    <row r="319" spans="2:7" x14ac:dyDescent="0.3">
      <c r="B319" s="38" t="s">
        <v>737</v>
      </c>
      <c r="C319" s="38" t="s">
        <v>407</v>
      </c>
      <c r="D319" s="38" t="s">
        <v>726</v>
      </c>
      <c r="E319" s="38">
        <v>2</v>
      </c>
      <c r="F319" s="38">
        <v>14</v>
      </c>
      <c r="G319" s="38"/>
    </row>
    <row r="320" spans="2:7" x14ac:dyDescent="0.3">
      <c r="B320" s="38" t="s">
        <v>738</v>
      </c>
      <c r="C320" s="38" t="s">
        <v>398</v>
      </c>
      <c r="D320" s="38" t="s">
        <v>739</v>
      </c>
      <c r="E320" s="38">
        <v>81</v>
      </c>
      <c r="F320" s="38">
        <v>1124</v>
      </c>
      <c r="G320" s="38"/>
    </row>
    <row r="321" spans="2:7" x14ac:dyDescent="0.3">
      <c r="B321" s="38" t="s">
        <v>740</v>
      </c>
      <c r="C321" s="38" t="s">
        <v>398</v>
      </c>
      <c r="D321" s="38" t="s">
        <v>739</v>
      </c>
      <c r="E321" s="38">
        <v>59</v>
      </c>
      <c r="F321" s="38">
        <v>942</v>
      </c>
      <c r="G321" s="38"/>
    </row>
    <row r="322" spans="2:7" x14ac:dyDescent="0.3">
      <c r="B322" s="38" t="s">
        <v>741</v>
      </c>
      <c r="C322" s="38" t="s">
        <v>398</v>
      </c>
      <c r="D322" s="38" t="s">
        <v>739</v>
      </c>
      <c r="E322" s="38">
        <v>57</v>
      </c>
      <c r="F322" s="38">
        <v>714</v>
      </c>
      <c r="G322" s="38"/>
    </row>
    <row r="323" spans="2:7" x14ac:dyDescent="0.3">
      <c r="B323" s="38" t="s">
        <v>742</v>
      </c>
      <c r="C323" s="38" t="s">
        <v>398</v>
      </c>
      <c r="D323" s="38" t="s">
        <v>739</v>
      </c>
      <c r="E323" s="38">
        <v>37</v>
      </c>
      <c r="F323" s="38">
        <v>474</v>
      </c>
      <c r="G323" s="38"/>
    </row>
    <row r="324" spans="2:7" x14ac:dyDescent="0.3">
      <c r="B324" s="38" t="s">
        <v>743</v>
      </c>
      <c r="C324" s="38" t="s">
        <v>398</v>
      </c>
      <c r="D324" s="38" t="s">
        <v>739</v>
      </c>
      <c r="E324" s="38">
        <v>29</v>
      </c>
      <c r="F324" s="38">
        <v>316</v>
      </c>
      <c r="G324" s="38"/>
    </row>
    <row r="325" spans="2:7" x14ac:dyDescent="0.3">
      <c r="B325" s="38" t="s">
        <v>744</v>
      </c>
      <c r="C325" s="38" t="s">
        <v>398</v>
      </c>
      <c r="D325" s="38" t="s">
        <v>739</v>
      </c>
      <c r="E325" s="38">
        <v>10</v>
      </c>
      <c r="F325" s="38">
        <v>165</v>
      </c>
      <c r="G325" s="38"/>
    </row>
    <row r="326" spans="2:7" x14ac:dyDescent="0.3">
      <c r="B326" s="38" t="s">
        <v>745</v>
      </c>
      <c r="C326" s="38" t="s">
        <v>407</v>
      </c>
      <c r="D326" s="38" t="s">
        <v>739</v>
      </c>
      <c r="E326" s="38">
        <v>33</v>
      </c>
      <c r="F326" s="38">
        <v>340</v>
      </c>
      <c r="G326" s="38"/>
    </row>
    <row r="327" spans="2:7" x14ac:dyDescent="0.3">
      <c r="B327" s="38" t="s">
        <v>746</v>
      </c>
      <c r="C327" s="38" t="s">
        <v>407</v>
      </c>
      <c r="D327" s="38" t="s">
        <v>739</v>
      </c>
      <c r="E327" s="38">
        <v>14</v>
      </c>
      <c r="F327" s="38">
        <v>122</v>
      </c>
      <c r="G327" s="38"/>
    </row>
    <row r="328" spans="2:7" x14ac:dyDescent="0.3">
      <c r="B328" s="38" t="s">
        <v>747</v>
      </c>
      <c r="C328" s="38" t="s">
        <v>407</v>
      </c>
      <c r="D328" s="38" t="s">
        <v>739</v>
      </c>
      <c r="E328" s="38">
        <v>4</v>
      </c>
      <c r="F328" s="38">
        <v>38</v>
      </c>
      <c r="G328" s="38"/>
    </row>
    <row r="329" spans="2:7" x14ac:dyDescent="0.3">
      <c r="B329" s="38" t="s">
        <v>748</v>
      </c>
      <c r="C329" s="38" t="s">
        <v>407</v>
      </c>
      <c r="D329" s="38" t="s">
        <v>739</v>
      </c>
      <c r="E329" s="38">
        <v>4</v>
      </c>
      <c r="F329" s="38">
        <v>37</v>
      </c>
      <c r="G329" s="38"/>
    </row>
    <row r="330" spans="2:7" x14ac:dyDescent="0.3">
      <c r="B330" s="38" t="s">
        <v>749</v>
      </c>
      <c r="C330" s="38" t="s">
        <v>407</v>
      </c>
      <c r="D330" s="38" t="s">
        <v>739</v>
      </c>
      <c r="E330" s="38">
        <v>0</v>
      </c>
      <c r="F330" s="38">
        <v>0</v>
      </c>
      <c r="G330" s="38"/>
    </row>
    <row r="331" spans="2:7" x14ac:dyDescent="0.3">
      <c r="B331" s="38" t="s">
        <v>750</v>
      </c>
      <c r="C331" s="38" t="s">
        <v>398</v>
      </c>
      <c r="D331" s="38" t="s">
        <v>751</v>
      </c>
      <c r="E331" s="38">
        <v>67</v>
      </c>
      <c r="F331" s="38">
        <v>927</v>
      </c>
      <c r="G331" s="38"/>
    </row>
    <row r="332" spans="2:7" x14ac:dyDescent="0.3">
      <c r="B332" s="38" t="s">
        <v>752</v>
      </c>
      <c r="C332" s="38" t="s">
        <v>398</v>
      </c>
      <c r="D332" s="38" t="s">
        <v>751</v>
      </c>
      <c r="E332" s="38">
        <v>71</v>
      </c>
      <c r="F332" s="38">
        <v>1003</v>
      </c>
      <c r="G332" s="38"/>
    </row>
    <row r="333" spans="2:7" x14ac:dyDescent="0.3">
      <c r="B333" s="38" t="s">
        <v>753</v>
      </c>
      <c r="C333" s="38" t="s">
        <v>398</v>
      </c>
      <c r="D333" s="38" t="s">
        <v>751</v>
      </c>
      <c r="E333" s="38">
        <v>47</v>
      </c>
      <c r="F333" s="38">
        <v>526</v>
      </c>
      <c r="G333" s="38"/>
    </row>
    <row r="334" spans="2:7" x14ac:dyDescent="0.3">
      <c r="B334" s="38" t="s">
        <v>754</v>
      </c>
      <c r="C334" s="38" t="s">
        <v>398</v>
      </c>
      <c r="D334" s="38" t="s">
        <v>751</v>
      </c>
      <c r="E334" s="38">
        <v>14</v>
      </c>
      <c r="F334" s="38">
        <v>184</v>
      </c>
      <c r="G334" s="38"/>
    </row>
    <row r="335" spans="2:7" x14ac:dyDescent="0.3">
      <c r="B335" s="38" t="s">
        <v>755</v>
      </c>
      <c r="C335" s="38" t="s">
        <v>398</v>
      </c>
      <c r="D335" s="38" t="s">
        <v>751</v>
      </c>
      <c r="E335" s="38">
        <v>18</v>
      </c>
      <c r="F335" s="38">
        <v>208</v>
      </c>
      <c r="G335" s="38"/>
    </row>
    <row r="336" spans="2:7" x14ac:dyDescent="0.3">
      <c r="B336" s="38" t="s">
        <v>756</v>
      </c>
      <c r="C336" s="38" t="s">
        <v>407</v>
      </c>
      <c r="D336" s="38" t="s">
        <v>751</v>
      </c>
      <c r="E336" s="38">
        <v>28</v>
      </c>
      <c r="F336" s="38">
        <v>264</v>
      </c>
      <c r="G336" s="38"/>
    </row>
    <row r="337" spans="2:7" x14ac:dyDescent="0.3">
      <c r="B337" s="38" t="s">
        <v>757</v>
      </c>
      <c r="C337" s="38" t="s">
        <v>407</v>
      </c>
      <c r="D337" s="38" t="s">
        <v>751</v>
      </c>
      <c r="E337" s="38">
        <v>13</v>
      </c>
      <c r="F337" s="38">
        <v>118</v>
      </c>
      <c r="G337" s="38"/>
    </row>
    <row r="338" spans="2:7" x14ac:dyDescent="0.3">
      <c r="B338" s="38" t="s">
        <v>758</v>
      </c>
      <c r="C338" s="38" t="s">
        <v>407</v>
      </c>
      <c r="D338" s="38" t="s">
        <v>751</v>
      </c>
      <c r="E338" s="38">
        <v>4</v>
      </c>
      <c r="F338" s="38">
        <v>31</v>
      </c>
      <c r="G338" s="38"/>
    </row>
    <row r="339" spans="2:7" x14ac:dyDescent="0.3">
      <c r="B339" s="38" t="s">
        <v>759</v>
      </c>
      <c r="C339" s="38" t="s">
        <v>407</v>
      </c>
      <c r="D339" s="38" t="s">
        <v>751</v>
      </c>
      <c r="E339" s="38">
        <v>0</v>
      </c>
      <c r="F339" s="38">
        <v>0</v>
      </c>
      <c r="G339" s="38"/>
    </row>
    <row r="340" spans="2:7" x14ac:dyDescent="0.3">
      <c r="B340" s="38" t="s">
        <v>760</v>
      </c>
      <c r="C340" s="38" t="s">
        <v>407</v>
      </c>
      <c r="D340" s="38" t="s">
        <v>751</v>
      </c>
      <c r="E340" s="38">
        <v>0</v>
      </c>
      <c r="F340" s="38">
        <v>0</v>
      </c>
      <c r="G340" s="38"/>
    </row>
    <row r="341" spans="2:7" x14ac:dyDescent="0.3">
      <c r="B341" s="38" t="s">
        <v>761</v>
      </c>
      <c r="C341" s="38" t="s">
        <v>398</v>
      </c>
      <c r="D341" s="38" t="s">
        <v>762</v>
      </c>
      <c r="E341" s="38">
        <v>70</v>
      </c>
      <c r="F341" s="38">
        <v>1034</v>
      </c>
      <c r="G341" s="38"/>
    </row>
    <row r="342" spans="2:7" x14ac:dyDescent="0.3">
      <c r="B342" s="38" t="s">
        <v>763</v>
      </c>
      <c r="C342" s="38" t="s">
        <v>398</v>
      </c>
      <c r="D342" s="38" t="s">
        <v>762</v>
      </c>
      <c r="E342" s="38">
        <v>56</v>
      </c>
      <c r="F342" s="38">
        <v>789</v>
      </c>
      <c r="G342" s="38"/>
    </row>
    <row r="343" spans="2:7" x14ac:dyDescent="0.3">
      <c r="B343" s="38" t="s">
        <v>764</v>
      </c>
      <c r="C343" s="38" t="s">
        <v>398</v>
      </c>
      <c r="D343" s="38" t="s">
        <v>762</v>
      </c>
      <c r="E343" s="38">
        <v>38</v>
      </c>
      <c r="F343" s="38">
        <v>469</v>
      </c>
      <c r="G343" s="38"/>
    </row>
    <row r="344" spans="2:7" x14ac:dyDescent="0.3">
      <c r="B344" s="38" t="s">
        <v>765</v>
      </c>
      <c r="C344" s="38" t="s">
        <v>398</v>
      </c>
      <c r="D344" s="38" t="s">
        <v>762</v>
      </c>
      <c r="E344" s="38">
        <v>20</v>
      </c>
      <c r="F344" s="38">
        <v>268</v>
      </c>
      <c r="G344" s="38"/>
    </row>
    <row r="345" spans="2:7" x14ac:dyDescent="0.3">
      <c r="B345" s="38" t="s">
        <v>766</v>
      </c>
      <c r="C345" s="38" t="s">
        <v>398</v>
      </c>
      <c r="D345" s="38" t="s">
        <v>762</v>
      </c>
      <c r="E345" s="38">
        <v>18</v>
      </c>
      <c r="F345" s="38">
        <v>199</v>
      </c>
      <c r="G345" s="38"/>
    </row>
    <row r="346" spans="2:7" x14ac:dyDescent="0.3">
      <c r="B346" s="38" t="s">
        <v>767</v>
      </c>
      <c r="C346" s="38" t="s">
        <v>398</v>
      </c>
      <c r="D346" s="38" t="s">
        <v>762</v>
      </c>
      <c r="E346" s="38">
        <v>4</v>
      </c>
      <c r="F346" s="38">
        <v>60</v>
      </c>
      <c r="G346" s="38"/>
    </row>
    <row r="347" spans="2:7" x14ac:dyDescent="0.3">
      <c r="B347" s="38" t="s">
        <v>768</v>
      </c>
      <c r="C347" s="38" t="s">
        <v>407</v>
      </c>
      <c r="D347" s="38" t="s">
        <v>762</v>
      </c>
      <c r="E347" s="38">
        <v>61</v>
      </c>
      <c r="F347" s="38">
        <v>721</v>
      </c>
      <c r="G347" s="38"/>
    </row>
    <row r="348" spans="2:7" x14ac:dyDescent="0.3">
      <c r="B348" s="38" t="s">
        <v>769</v>
      </c>
      <c r="C348" s="38" t="s">
        <v>407</v>
      </c>
      <c r="D348" s="38" t="s">
        <v>762</v>
      </c>
      <c r="E348" s="38">
        <v>18</v>
      </c>
      <c r="F348" s="38">
        <v>146</v>
      </c>
      <c r="G348" s="38"/>
    </row>
    <row r="349" spans="2:7" x14ac:dyDescent="0.3">
      <c r="B349" s="38" t="s">
        <v>770</v>
      </c>
      <c r="C349" s="38" t="s">
        <v>407</v>
      </c>
      <c r="D349" s="38" t="s">
        <v>762</v>
      </c>
      <c r="E349" s="38">
        <v>11</v>
      </c>
      <c r="F349" s="38">
        <v>99</v>
      </c>
      <c r="G349" s="38"/>
    </row>
    <row r="350" spans="2:7" x14ac:dyDescent="0.3">
      <c r="B350" s="38" t="s">
        <v>771</v>
      </c>
      <c r="C350" s="38" t="s">
        <v>407</v>
      </c>
      <c r="D350" s="38" t="s">
        <v>762</v>
      </c>
      <c r="E350" s="38">
        <v>4</v>
      </c>
      <c r="F350" s="38">
        <v>39</v>
      </c>
      <c r="G350" s="38"/>
    </row>
    <row r="351" spans="2:7" x14ac:dyDescent="0.3">
      <c r="B351" s="38" t="s">
        <v>772</v>
      </c>
      <c r="C351" s="38" t="s">
        <v>407</v>
      </c>
      <c r="D351" s="38" t="s">
        <v>762</v>
      </c>
      <c r="E351" s="38">
        <v>0</v>
      </c>
      <c r="F351" s="38">
        <v>0</v>
      </c>
      <c r="G351" s="38"/>
    </row>
    <row r="352" spans="2:7" x14ac:dyDescent="0.3">
      <c r="B352" s="38" t="s">
        <v>773</v>
      </c>
      <c r="C352" s="38" t="s">
        <v>398</v>
      </c>
      <c r="D352" s="38" t="s">
        <v>774</v>
      </c>
      <c r="E352" s="38">
        <v>58</v>
      </c>
      <c r="F352" s="38">
        <v>774</v>
      </c>
      <c r="G352" s="38"/>
    </row>
    <row r="353" spans="2:7" x14ac:dyDescent="0.3">
      <c r="B353" s="38" t="s">
        <v>775</v>
      </c>
      <c r="C353" s="38" t="s">
        <v>398</v>
      </c>
      <c r="D353" s="38" t="s">
        <v>774</v>
      </c>
      <c r="E353" s="38">
        <v>44</v>
      </c>
      <c r="F353" s="38">
        <v>577</v>
      </c>
      <c r="G353" s="38"/>
    </row>
    <row r="354" spans="2:7" x14ac:dyDescent="0.3">
      <c r="B354" s="38" t="s">
        <v>776</v>
      </c>
      <c r="C354" s="38" t="s">
        <v>398</v>
      </c>
      <c r="D354" s="38" t="s">
        <v>774</v>
      </c>
      <c r="E354" s="38">
        <v>39</v>
      </c>
      <c r="F354" s="38">
        <v>482</v>
      </c>
      <c r="G354" s="38"/>
    </row>
    <row r="355" spans="2:7" x14ac:dyDescent="0.3">
      <c r="B355" s="38" t="s">
        <v>777</v>
      </c>
      <c r="C355" s="38" t="s">
        <v>398</v>
      </c>
      <c r="D355" s="38" t="s">
        <v>774</v>
      </c>
      <c r="E355" s="38">
        <v>28</v>
      </c>
      <c r="F355" s="38">
        <v>390</v>
      </c>
      <c r="G355" s="38"/>
    </row>
    <row r="356" spans="2:7" x14ac:dyDescent="0.3">
      <c r="B356" s="38" t="s">
        <v>778</v>
      </c>
      <c r="C356" s="38" t="s">
        <v>398</v>
      </c>
      <c r="D356" s="38" t="s">
        <v>774</v>
      </c>
      <c r="E356" s="38">
        <v>21</v>
      </c>
      <c r="F356" s="38">
        <v>267</v>
      </c>
      <c r="G356" s="38"/>
    </row>
    <row r="357" spans="2:7" x14ac:dyDescent="0.3">
      <c r="B357" s="38" t="s">
        <v>779</v>
      </c>
      <c r="C357" s="38" t="s">
        <v>407</v>
      </c>
      <c r="D357" s="38" t="s">
        <v>774</v>
      </c>
      <c r="E357" s="38">
        <v>52</v>
      </c>
      <c r="F357" s="38">
        <v>713</v>
      </c>
      <c r="G357" s="38"/>
    </row>
    <row r="358" spans="2:7" x14ac:dyDescent="0.3">
      <c r="B358" s="38" t="s">
        <v>780</v>
      </c>
      <c r="C358" s="38" t="s">
        <v>407</v>
      </c>
      <c r="D358" s="38" t="s">
        <v>774</v>
      </c>
      <c r="E358" s="38">
        <v>3</v>
      </c>
      <c r="F358" s="38">
        <v>28</v>
      </c>
      <c r="G358" s="38"/>
    </row>
    <row r="359" spans="2:7" x14ac:dyDescent="0.3">
      <c r="B359" s="38" t="s">
        <v>781</v>
      </c>
      <c r="C359" s="38" t="s">
        <v>407</v>
      </c>
      <c r="D359" s="38" t="s">
        <v>774</v>
      </c>
      <c r="E359" s="38">
        <v>0</v>
      </c>
      <c r="F359" s="38">
        <v>0</v>
      </c>
      <c r="G359" s="38"/>
    </row>
    <row r="360" spans="2:7" x14ac:dyDescent="0.3">
      <c r="B360" s="38" t="s">
        <v>782</v>
      </c>
      <c r="C360" s="38" t="s">
        <v>407</v>
      </c>
      <c r="D360" s="38" t="s">
        <v>774</v>
      </c>
      <c r="E360" s="38">
        <v>0</v>
      </c>
      <c r="F360" s="38">
        <v>0</v>
      </c>
      <c r="G360" s="38"/>
    </row>
    <row r="361" spans="2:7" x14ac:dyDescent="0.3">
      <c r="B361" s="38" t="s">
        <v>783</v>
      </c>
      <c r="C361" s="38" t="s">
        <v>407</v>
      </c>
      <c r="D361" s="38" t="s">
        <v>774</v>
      </c>
      <c r="E361" s="38">
        <v>0</v>
      </c>
      <c r="F361" s="38">
        <v>0</v>
      </c>
      <c r="G361" s="38"/>
    </row>
    <row r="362" spans="2:7" x14ac:dyDescent="0.3">
      <c r="B362" s="38" t="s">
        <v>784</v>
      </c>
      <c r="C362" s="38" t="s">
        <v>398</v>
      </c>
      <c r="D362" s="38" t="s">
        <v>785</v>
      </c>
      <c r="E362" s="38">
        <v>78</v>
      </c>
      <c r="F362" s="38">
        <v>1164</v>
      </c>
      <c r="G362" s="38"/>
    </row>
    <row r="363" spans="2:7" x14ac:dyDescent="0.3">
      <c r="B363" s="38" t="s">
        <v>786</v>
      </c>
      <c r="C363" s="38" t="s">
        <v>398</v>
      </c>
      <c r="D363" s="38" t="s">
        <v>785</v>
      </c>
      <c r="E363" s="38">
        <v>74</v>
      </c>
      <c r="F363" s="38">
        <v>1083</v>
      </c>
      <c r="G363" s="38"/>
    </row>
    <row r="364" spans="2:7" x14ac:dyDescent="0.3">
      <c r="B364" s="38" t="s">
        <v>787</v>
      </c>
      <c r="C364" s="38" t="s">
        <v>398</v>
      </c>
      <c r="D364" s="38" t="s">
        <v>785</v>
      </c>
      <c r="E364" s="38">
        <v>46</v>
      </c>
      <c r="F364" s="38">
        <v>537</v>
      </c>
      <c r="G364" s="38"/>
    </row>
    <row r="365" spans="2:7" x14ac:dyDescent="0.3">
      <c r="B365" s="38" t="s">
        <v>788</v>
      </c>
      <c r="C365" s="38" t="s">
        <v>398</v>
      </c>
      <c r="D365" s="38" t="s">
        <v>785</v>
      </c>
      <c r="E365" s="38">
        <v>18</v>
      </c>
      <c r="F365" s="38">
        <v>245</v>
      </c>
      <c r="G365" s="38"/>
    </row>
    <row r="366" spans="2:7" x14ac:dyDescent="0.3">
      <c r="B366" s="38" t="s">
        <v>789</v>
      </c>
      <c r="C366" s="38" t="s">
        <v>398</v>
      </c>
      <c r="D366" s="38" t="s">
        <v>785</v>
      </c>
      <c r="E366" s="38">
        <v>12</v>
      </c>
      <c r="F366" s="38">
        <v>131</v>
      </c>
      <c r="G366" s="38"/>
    </row>
    <row r="367" spans="2:7" x14ac:dyDescent="0.3">
      <c r="B367" s="38" t="s">
        <v>790</v>
      </c>
      <c r="C367" s="38" t="s">
        <v>398</v>
      </c>
      <c r="D367" s="38" t="s">
        <v>785</v>
      </c>
      <c r="E367" s="38">
        <v>9</v>
      </c>
      <c r="F367" s="38">
        <v>78</v>
      </c>
      <c r="G367" s="38"/>
    </row>
    <row r="368" spans="2:7" x14ac:dyDescent="0.3">
      <c r="B368" s="38" t="s">
        <v>791</v>
      </c>
      <c r="C368" s="38" t="s">
        <v>407</v>
      </c>
      <c r="D368" s="38" t="s">
        <v>785</v>
      </c>
      <c r="E368" s="38">
        <v>30</v>
      </c>
      <c r="F368" s="38">
        <v>306</v>
      </c>
      <c r="G368" s="38"/>
    </row>
    <row r="369" spans="2:7" x14ac:dyDescent="0.3">
      <c r="B369" s="38" t="s">
        <v>792</v>
      </c>
      <c r="C369" s="38" t="s">
        <v>407</v>
      </c>
      <c r="D369" s="38" t="s">
        <v>785</v>
      </c>
      <c r="E369" s="38">
        <v>0</v>
      </c>
      <c r="F369" s="38">
        <v>0</v>
      </c>
      <c r="G369" s="38"/>
    </row>
    <row r="370" spans="2:7" x14ac:dyDescent="0.3">
      <c r="B370" s="38" t="s">
        <v>793</v>
      </c>
      <c r="C370" s="38" t="s">
        <v>407</v>
      </c>
      <c r="D370" s="38" t="s">
        <v>785</v>
      </c>
      <c r="E370" s="38">
        <v>0</v>
      </c>
      <c r="F370" s="38">
        <v>0</v>
      </c>
      <c r="G370" s="38"/>
    </row>
    <row r="371" spans="2:7" x14ac:dyDescent="0.3">
      <c r="B371" s="38" t="s">
        <v>794</v>
      </c>
      <c r="C371" s="38" t="s">
        <v>407</v>
      </c>
      <c r="D371" s="38" t="s">
        <v>785</v>
      </c>
      <c r="E371" s="38">
        <v>0</v>
      </c>
      <c r="F371" s="38">
        <v>0</v>
      </c>
      <c r="G371" s="38"/>
    </row>
    <row r="372" spans="2:7" x14ac:dyDescent="0.3">
      <c r="B372" s="38" t="s">
        <v>795</v>
      </c>
      <c r="C372" s="38" t="s">
        <v>407</v>
      </c>
      <c r="D372" s="38" t="s">
        <v>785</v>
      </c>
      <c r="E372" s="38">
        <v>0</v>
      </c>
      <c r="F372" s="38">
        <v>0</v>
      </c>
      <c r="G372" s="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9" tint="0.79998168889431442"/>
  </sheetPr>
  <dimension ref="A1:G373"/>
  <sheetViews>
    <sheetView showGridLines="0" workbookViewId="0"/>
  </sheetViews>
  <sheetFormatPr defaultRowHeight="15" x14ac:dyDescent="0.3"/>
  <cols>
    <col min="1" max="12" width="12.7109375" customWidth="1"/>
  </cols>
  <sheetData>
    <row r="1" spans="1:7" s="23" customFormat="1" ht="21.75" x14ac:dyDescent="0.45">
      <c r="A1" s="78" t="s">
        <v>246</v>
      </c>
      <c r="B1" s="25"/>
      <c r="C1" s="25"/>
      <c r="E1" s="24"/>
    </row>
    <row r="2" spans="1:7" s="23" customFormat="1" ht="19.5" x14ac:dyDescent="0.3">
      <c r="A2" s="5"/>
      <c r="B2" s="25"/>
      <c r="C2" s="25"/>
      <c r="E2" s="24"/>
    </row>
    <row r="3" spans="1:7" s="23" customFormat="1" ht="19.5" x14ac:dyDescent="0.3">
      <c r="A3" s="5"/>
      <c r="B3" s="25"/>
      <c r="C3" s="25"/>
      <c r="E3" s="24"/>
    </row>
    <row r="5" spans="1:7" ht="18.75" customHeight="1" x14ac:dyDescent="0.45">
      <c r="B5" s="43" t="s">
        <v>862</v>
      </c>
    </row>
    <row r="6" spans="1:7" ht="15" customHeight="1" x14ac:dyDescent="0.45">
      <c r="C6" s="43"/>
    </row>
    <row r="7" spans="1:7" x14ac:dyDescent="0.3">
      <c r="B7" s="5" t="s">
        <v>860</v>
      </c>
    </row>
    <row r="8" spans="1:7" x14ac:dyDescent="0.3">
      <c r="B8" s="36" t="s">
        <v>394</v>
      </c>
      <c r="C8" s="36" t="s">
        <v>395</v>
      </c>
      <c r="D8" s="36" t="s">
        <v>396</v>
      </c>
      <c r="E8" s="36" t="s">
        <v>796</v>
      </c>
      <c r="F8" s="36" t="s">
        <v>797</v>
      </c>
      <c r="G8" s="37" t="s">
        <v>853</v>
      </c>
    </row>
    <row r="9" spans="1:7" x14ac:dyDescent="0.3">
      <c r="B9" s="38" t="s">
        <v>397</v>
      </c>
      <c r="C9" s="38" t="s">
        <v>398</v>
      </c>
      <c r="D9" s="38" t="s">
        <v>399</v>
      </c>
      <c r="E9" s="38">
        <v>67</v>
      </c>
      <c r="F9" s="38">
        <v>950</v>
      </c>
      <c r="G9" s="38"/>
    </row>
    <row r="10" spans="1:7" x14ac:dyDescent="0.3">
      <c r="B10" s="38" t="s">
        <v>400</v>
      </c>
      <c r="C10" s="38" t="s">
        <v>398</v>
      </c>
      <c r="D10" s="38" t="s">
        <v>399</v>
      </c>
      <c r="E10" s="38">
        <v>68</v>
      </c>
      <c r="F10" s="38">
        <v>853</v>
      </c>
      <c r="G10" s="38"/>
    </row>
    <row r="11" spans="1:7" x14ac:dyDescent="0.3">
      <c r="B11" s="38" t="s">
        <v>401</v>
      </c>
      <c r="C11" s="38" t="s">
        <v>398</v>
      </c>
      <c r="D11" s="38" t="s">
        <v>399</v>
      </c>
      <c r="E11" s="38">
        <v>28</v>
      </c>
      <c r="F11" s="38">
        <v>355</v>
      </c>
      <c r="G11" s="38"/>
    </row>
    <row r="12" spans="1:7" x14ac:dyDescent="0.3">
      <c r="B12" s="38" t="s">
        <v>402</v>
      </c>
      <c r="C12" s="38" t="s">
        <v>398</v>
      </c>
      <c r="D12" s="38" t="s">
        <v>399</v>
      </c>
      <c r="E12" s="38">
        <v>21</v>
      </c>
      <c r="F12" s="38">
        <v>256</v>
      </c>
      <c r="G12" s="38"/>
    </row>
    <row r="13" spans="1:7" x14ac:dyDescent="0.3">
      <c r="B13" s="38" t="s">
        <v>403</v>
      </c>
      <c r="C13" s="38" t="s">
        <v>398</v>
      </c>
      <c r="D13" s="38" t="s">
        <v>399</v>
      </c>
      <c r="E13" s="38">
        <v>26</v>
      </c>
      <c r="F13" s="38">
        <v>275</v>
      </c>
      <c r="G13" s="38"/>
    </row>
    <row r="14" spans="1:7" x14ac:dyDescent="0.3">
      <c r="B14" s="38" t="s">
        <v>404</v>
      </c>
      <c r="C14" s="38" t="s">
        <v>398</v>
      </c>
      <c r="D14" s="38" t="s">
        <v>399</v>
      </c>
      <c r="E14" s="38">
        <v>14</v>
      </c>
      <c r="F14" s="38">
        <v>158</v>
      </c>
      <c r="G14" s="38"/>
    </row>
    <row r="15" spans="1:7" x14ac:dyDescent="0.3">
      <c r="B15" s="38" t="s">
        <v>405</v>
      </c>
      <c r="C15" s="38" t="s">
        <v>398</v>
      </c>
      <c r="D15" s="38" t="s">
        <v>399</v>
      </c>
      <c r="E15" s="38">
        <v>2</v>
      </c>
      <c r="F15" s="38">
        <v>25</v>
      </c>
      <c r="G15" s="38"/>
    </row>
    <row r="16" spans="1:7" x14ac:dyDescent="0.3">
      <c r="B16" s="38" t="s">
        <v>406</v>
      </c>
      <c r="C16" s="38" t="s">
        <v>407</v>
      </c>
      <c r="D16" s="38" t="s">
        <v>399</v>
      </c>
      <c r="E16" s="38">
        <v>45</v>
      </c>
      <c r="F16" s="38">
        <v>408</v>
      </c>
      <c r="G16" s="38"/>
    </row>
    <row r="17" spans="2:7" x14ac:dyDescent="0.3">
      <c r="B17" s="38" t="s">
        <v>408</v>
      </c>
      <c r="C17" s="38" t="s">
        <v>407</v>
      </c>
      <c r="D17" s="38" t="s">
        <v>399</v>
      </c>
      <c r="E17" s="38">
        <v>8</v>
      </c>
      <c r="F17" s="38">
        <v>83</v>
      </c>
      <c r="G17" s="38"/>
    </row>
    <row r="18" spans="2:7" x14ac:dyDescent="0.3">
      <c r="B18" s="38" t="s">
        <v>409</v>
      </c>
      <c r="C18" s="38" t="s">
        <v>407</v>
      </c>
      <c r="D18" s="38" t="s">
        <v>399</v>
      </c>
      <c r="E18" s="38">
        <v>5</v>
      </c>
      <c r="F18" s="38">
        <v>52</v>
      </c>
      <c r="G18" s="38"/>
    </row>
    <row r="19" spans="2:7" x14ac:dyDescent="0.3">
      <c r="B19" s="38" t="s">
        <v>410</v>
      </c>
      <c r="C19" s="38" t="s">
        <v>407</v>
      </c>
      <c r="D19" s="38" t="s">
        <v>399</v>
      </c>
      <c r="E19" s="38">
        <v>6</v>
      </c>
      <c r="F19" s="38">
        <v>58</v>
      </c>
      <c r="G19" s="38"/>
    </row>
    <row r="20" spans="2:7" x14ac:dyDescent="0.3">
      <c r="B20" s="38" t="s">
        <v>411</v>
      </c>
      <c r="C20" s="38" t="s">
        <v>407</v>
      </c>
      <c r="D20" s="38" t="s">
        <v>399</v>
      </c>
      <c r="E20" s="38">
        <v>2</v>
      </c>
      <c r="F20" s="38">
        <v>29</v>
      </c>
      <c r="G20" s="38"/>
    </row>
    <row r="21" spans="2:7" x14ac:dyDescent="0.3">
      <c r="B21" s="38" t="s">
        <v>412</v>
      </c>
      <c r="C21" s="38" t="s">
        <v>407</v>
      </c>
      <c r="D21" s="38" t="s">
        <v>399</v>
      </c>
      <c r="E21" s="38">
        <v>2</v>
      </c>
      <c r="F21" s="38">
        <v>21</v>
      </c>
      <c r="G21" s="38"/>
    </row>
    <row r="22" spans="2:7" x14ac:dyDescent="0.3">
      <c r="B22" s="38" t="s">
        <v>413</v>
      </c>
      <c r="C22" s="38" t="s">
        <v>398</v>
      </c>
      <c r="D22" s="38" t="s">
        <v>414</v>
      </c>
      <c r="E22" s="38">
        <v>72</v>
      </c>
      <c r="F22" s="38">
        <v>1114</v>
      </c>
      <c r="G22" s="38"/>
    </row>
    <row r="23" spans="2:7" x14ac:dyDescent="0.3">
      <c r="B23" s="38" t="s">
        <v>415</v>
      </c>
      <c r="C23" s="38" t="s">
        <v>398</v>
      </c>
      <c r="D23" s="38" t="s">
        <v>414</v>
      </c>
      <c r="E23" s="38">
        <v>55</v>
      </c>
      <c r="F23" s="38">
        <v>852</v>
      </c>
      <c r="G23" s="38"/>
    </row>
    <row r="24" spans="2:7" x14ac:dyDescent="0.3">
      <c r="B24" s="38" t="s">
        <v>416</v>
      </c>
      <c r="C24" s="38" t="s">
        <v>398</v>
      </c>
      <c r="D24" s="38" t="s">
        <v>414</v>
      </c>
      <c r="E24" s="38">
        <v>38</v>
      </c>
      <c r="F24" s="38">
        <v>436</v>
      </c>
      <c r="G24" s="38"/>
    </row>
    <row r="25" spans="2:7" x14ac:dyDescent="0.3">
      <c r="B25" s="38" t="s">
        <v>417</v>
      </c>
      <c r="C25" s="38" t="s">
        <v>398</v>
      </c>
      <c r="D25" s="38" t="s">
        <v>414</v>
      </c>
      <c r="E25" s="38">
        <v>32</v>
      </c>
      <c r="F25" s="38">
        <v>393</v>
      </c>
      <c r="G25" s="38"/>
    </row>
    <row r="26" spans="2:7" x14ac:dyDescent="0.3">
      <c r="B26" s="38" t="s">
        <v>418</v>
      </c>
      <c r="C26" s="38" t="s">
        <v>398</v>
      </c>
      <c r="D26" s="38" t="s">
        <v>414</v>
      </c>
      <c r="E26" s="38">
        <v>11</v>
      </c>
      <c r="F26" s="38">
        <v>94</v>
      </c>
      <c r="G26" s="38"/>
    </row>
    <row r="27" spans="2:7" x14ac:dyDescent="0.3">
      <c r="B27" s="38" t="s">
        <v>419</v>
      </c>
      <c r="C27" s="38" t="s">
        <v>407</v>
      </c>
      <c r="D27" s="38" t="s">
        <v>414</v>
      </c>
      <c r="E27" s="38">
        <v>43</v>
      </c>
      <c r="F27" s="38">
        <v>411</v>
      </c>
      <c r="G27" s="38"/>
    </row>
    <row r="28" spans="2:7" x14ac:dyDescent="0.3">
      <c r="B28" s="38" t="s">
        <v>420</v>
      </c>
      <c r="C28" s="38" t="s">
        <v>407</v>
      </c>
      <c r="D28" s="38" t="s">
        <v>414</v>
      </c>
      <c r="E28" s="38">
        <v>38</v>
      </c>
      <c r="F28" s="38">
        <v>335</v>
      </c>
      <c r="G28" s="38"/>
    </row>
    <row r="29" spans="2:7" x14ac:dyDescent="0.3">
      <c r="B29" s="38" t="s">
        <v>421</v>
      </c>
      <c r="C29" s="38" t="s">
        <v>407</v>
      </c>
      <c r="D29" s="38" t="s">
        <v>414</v>
      </c>
      <c r="E29" s="38">
        <v>9</v>
      </c>
      <c r="F29" s="38">
        <v>84</v>
      </c>
      <c r="G29" s="38"/>
    </row>
    <row r="30" spans="2:7" x14ac:dyDescent="0.3">
      <c r="B30" s="38" t="s">
        <v>422</v>
      </c>
      <c r="C30" s="38" t="s">
        <v>407</v>
      </c>
      <c r="D30" s="38" t="s">
        <v>414</v>
      </c>
      <c r="E30" s="38">
        <v>0</v>
      </c>
      <c r="F30" s="38">
        <v>0</v>
      </c>
      <c r="G30" s="38"/>
    </row>
    <row r="31" spans="2:7" x14ac:dyDescent="0.3">
      <c r="B31" s="38" t="s">
        <v>423</v>
      </c>
      <c r="C31" s="38" t="s">
        <v>407</v>
      </c>
      <c r="D31" s="38" t="s">
        <v>414</v>
      </c>
      <c r="E31" s="38">
        <v>0</v>
      </c>
      <c r="F31" s="38">
        <v>0</v>
      </c>
      <c r="G31" s="38"/>
    </row>
    <row r="32" spans="2:7" x14ac:dyDescent="0.3">
      <c r="B32" s="38" t="s">
        <v>424</v>
      </c>
      <c r="C32" s="38" t="s">
        <v>398</v>
      </c>
      <c r="D32" s="38" t="s">
        <v>425</v>
      </c>
      <c r="E32" s="38">
        <v>84</v>
      </c>
      <c r="F32" s="38">
        <v>1253</v>
      </c>
      <c r="G32" s="38"/>
    </row>
    <row r="33" spans="2:7" x14ac:dyDescent="0.3">
      <c r="B33" s="38" t="s">
        <v>426</v>
      </c>
      <c r="C33" s="38" t="s">
        <v>398</v>
      </c>
      <c r="D33" s="38" t="s">
        <v>425</v>
      </c>
      <c r="E33" s="38">
        <v>54</v>
      </c>
      <c r="F33" s="38">
        <v>831</v>
      </c>
      <c r="G33" s="38"/>
    </row>
    <row r="34" spans="2:7" x14ac:dyDescent="0.3">
      <c r="B34" s="38" t="s">
        <v>427</v>
      </c>
      <c r="C34" s="38" t="s">
        <v>398</v>
      </c>
      <c r="D34" s="38" t="s">
        <v>425</v>
      </c>
      <c r="E34" s="38">
        <v>47</v>
      </c>
      <c r="F34" s="38">
        <v>501</v>
      </c>
      <c r="G34" s="38"/>
    </row>
    <row r="35" spans="2:7" x14ac:dyDescent="0.3">
      <c r="B35" s="38" t="s">
        <v>428</v>
      </c>
      <c r="C35" s="38" t="s">
        <v>398</v>
      </c>
      <c r="D35" s="38" t="s">
        <v>425</v>
      </c>
      <c r="E35" s="38">
        <v>2</v>
      </c>
      <c r="F35" s="38">
        <v>19</v>
      </c>
      <c r="G35" s="38"/>
    </row>
    <row r="36" spans="2:7" x14ac:dyDescent="0.3">
      <c r="B36" s="38" t="s">
        <v>429</v>
      </c>
      <c r="C36" s="38" t="s">
        <v>398</v>
      </c>
      <c r="D36" s="38" t="s">
        <v>425</v>
      </c>
      <c r="E36" s="38">
        <v>0</v>
      </c>
      <c r="F36" s="38">
        <v>0</v>
      </c>
      <c r="G36" s="38"/>
    </row>
    <row r="37" spans="2:7" x14ac:dyDescent="0.3">
      <c r="B37" s="38" t="s">
        <v>430</v>
      </c>
      <c r="C37" s="38" t="s">
        <v>407</v>
      </c>
      <c r="D37" s="38" t="s">
        <v>425</v>
      </c>
      <c r="E37" s="38">
        <v>28</v>
      </c>
      <c r="F37" s="38">
        <v>245</v>
      </c>
      <c r="G37" s="38"/>
    </row>
    <row r="38" spans="2:7" x14ac:dyDescent="0.3">
      <c r="B38" s="38" t="s">
        <v>431</v>
      </c>
      <c r="C38" s="38" t="s">
        <v>407</v>
      </c>
      <c r="D38" s="38" t="s">
        <v>425</v>
      </c>
      <c r="E38" s="38">
        <v>17</v>
      </c>
      <c r="F38" s="38">
        <v>189</v>
      </c>
      <c r="G38" s="38"/>
    </row>
    <row r="39" spans="2:7" x14ac:dyDescent="0.3">
      <c r="B39" s="38" t="s">
        <v>432</v>
      </c>
      <c r="C39" s="38" t="s">
        <v>407</v>
      </c>
      <c r="D39" s="38" t="s">
        <v>425</v>
      </c>
      <c r="E39" s="38">
        <v>7</v>
      </c>
      <c r="F39" s="38">
        <v>56</v>
      </c>
      <c r="G39" s="38"/>
    </row>
    <row r="40" spans="2:7" x14ac:dyDescent="0.3">
      <c r="B40" s="38" t="s">
        <v>433</v>
      </c>
      <c r="C40" s="38" t="s">
        <v>407</v>
      </c>
      <c r="D40" s="38" t="s">
        <v>425</v>
      </c>
      <c r="E40" s="38">
        <v>4</v>
      </c>
      <c r="F40" s="38">
        <v>40</v>
      </c>
      <c r="G40" s="38"/>
    </row>
    <row r="41" spans="2:7" x14ac:dyDescent="0.3">
      <c r="B41" s="38" t="s">
        <v>434</v>
      </c>
      <c r="C41" s="38" t="s">
        <v>407</v>
      </c>
      <c r="D41" s="38" t="s">
        <v>425</v>
      </c>
      <c r="E41" s="38">
        <v>2</v>
      </c>
      <c r="F41" s="38">
        <v>23</v>
      </c>
      <c r="G41" s="38"/>
    </row>
    <row r="42" spans="2:7" x14ac:dyDescent="0.3">
      <c r="B42" s="38" t="s">
        <v>435</v>
      </c>
      <c r="C42" s="38" t="s">
        <v>398</v>
      </c>
      <c r="D42" s="38" t="s">
        <v>436</v>
      </c>
      <c r="E42" s="38">
        <v>96</v>
      </c>
      <c r="F42" s="38">
        <v>1384</v>
      </c>
      <c r="G42" s="38"/>
    </row>
    <row r="43" spans="2:7" x14ac:dyDescent="0.3">
      <c r="B43" s="38" t="s">
        <v>437</v>
      </c>
      <c r="C43" s="38" t="s">
        <v>398</v>
      </c>
      <c r="D43" s="38" t="s">
        <v>436</v>
      </c>
      <c r="E43" s="38">
        <v>75</v>
      </c>
      <c r="F43" s="38">
        <v>1060</v>
      </c>
      <c r="G43" s="38"/>
    </row>
    <row r="44" spans="2:7" x14ac:dyDescent="0.3">
      <c r="B44" s="38" t="s">
        <v>438</v>
      </c>
      <c r="C44" s="38" t="s">
        <v>398</v>
      </c>
      <c r="D44" s="38" t="s">
        <v>436</v>
      </c>
      <c r="E44" s="38">
        <v>60</v>
      </c>
      <c r="F44" s="38">
        <v>727</v>
      </c>
      <c r="G44" s="38"/>
    </row>
    <row r="45" spans="2:7" x14ac:dyDescent="0.3">
      <c r="B45" s="38" t="s">
        <v>439</v>
      </c>
      <c r="C45" s="38" t="s">
        <v>398</v>
      </c>
      <c r="D45" s="38" t="s">
        <v>436</v>
      </c>
      <c r="E45" s="38">
        <v>41</v>
      </c>
      <c r="F45" s="38">
        <v>473</v>
      </c>
      <c r="G45" s="38"/>
    </row>
    <row r="46" spans="2:7" x14ac:dyDescent="0.3">
      <c r="B46" s="38" t="s">
        <v>440</v>
      </c>
      <c r="C46" s="38" t="s">
        <v>398</v>
      </c>
      <c r="D46" s="38" t="s">
        <v>436</v>
      </c>
      <c r="E46" s="38">
        <v>17</v>
      </c>
      <c r="F46" s="38">
        <v>192</v>
      </c>
      <c r="G46" s="38"/>
    </row>
    <row r="47" spans="2:7" x14ac:dyDescent="0.3">
      <c r="B47" s="38" t="s">
        <v>441</v>
      </c>
      <c r="C47" s="38" t="s">
        <v>398</v>
      </c>
      <c r="D47" s="38" t="s">
        <v>436</v>
      </c>
      <c r="E47" s="38">
        <v>10</v>
      </c>
      <c r="F47" s="38">
        <v>98</v>
      </c>
      <c r="G47" s="38"/>
    </row>
    <row r="48" spans="2:7" x14ac:dyDescent="0.3">
      <c r="B48" s="38" t="s">
        <v>442</v>
      </c>
      <c r="C48" s="38" t="s">
        <v>407</v>
      </c>
      <c r="D48" s="38" t="s">
        <v>436</v>
      </c>
      <c r="E48" s="38">
        <v>18</v>
      </c>
      <c r="F48" s="38">
        <v>190</v>
      </c>
      <c r="G48" s="38"/>
    </row>
    <row r="49" spans="2:7" x14ac:dyDescent="0.3">
      <c r="B49" s="38" t="s">
        <v>443</v>
      </c>
      <c r="C49" s="38" t="s">
        <v>407</v>
      </c>
      <c r="D49" s="38" t="s">
        <v>436</v>
      </c>
      <c r="E49" s="38">
        <v>4</v>
      </c>
      <c r="F49" s="38">
        <v>28</v>
      </c>
      <c r="G49" s="38"/>
    </row>
    <row r="50" spans="2:7" x14ac:dyDescent="0.3">
      <c r="B50" s="38" t="s">
        <v>444</v>
      </c>
      <c r="C50" s="38" t="s">
        <v>407</v>
      </c>
      <c r="D50" s="38" t="s">
        <v>436</v>
      </c>
      <c r="E50" s="38">
        <v>0</v>
      </c>
      <c r="F50" s="38">
        <v>0</v>
      </c>
      <c r="G50" s="38"/>
    </row>
    <row r="51" spans="2:7" x14ac:dyDescent="0.3">
      <c r="B51" s="38" t="s">
        <v>445</v>
      </c>
      <c r="C51" s="38" t="s">
        <v>407</v>
      </c>
      <c r="D51" s="38" t="s">
        <v>436</v>
      </c>
      <c r="E51" s="38">
        <v>0</v>
      </c>
      <c r="F51" s="38">
        <v>0</v>
      </c>
      <c r="G51" s="38"/>
    </row>
    <row r="52" spans="2:7" x14ac:dyDescent="0.3">
      <c r="B52" s="38" t="s">
        <v>446</v>
      </c>
      <c r="C52" s="38" t="s">
        <v>407</v>
      </c>
      <c r="D52" s="38" t="s">
        <v>436</v>
      </c>
      <c r="E52" s="38">
        <v>0</v>
      </c>
      <c r="F52" s="38">
        <v>0</v>
      </c>
      <c r="G52" s="38"/>
    </row>
    <row r="53" spans="2:7" x14ac:dyDescent="0.3">
      <c r="B53" s="38" t="s">
        <v>447</v>
      </c>
      <c r="C53" s="38" t="s">
        <v>398</v>
      </c>
      <c r="D53" s="38" t="s">
        <v>448</v>
      </c>
      <c r="E53" s="38">
        <v>68</v>
      </c>
      <c r="F53" s="38">
        <v>935</v>
      </c>
      <c r="G53" s="38"/>
    </row>
    <row r="54" spans="2:7" x14ac:dyDescent="0.3">
      <c r="B54" s="38" t="s">
        <v>449</v>
      </c>
      <c r="C54" s="38" t="s">
        <v>398</v>
      </c>
      <c r="D54" s="38" t="s">
        <v>448</v>
      </c>
      <c r="E54" s="38">
        <v>54</v>
      </c>
      <c r="F54" s="38">
        <v>703</v>
      </c>
      <c r="G54" s="38"/>
    </row>
    <row r="55" spans="2:7" x14ac:dyDescent="0.3">
      <c r="B55" s="38" t="s">
        <v>450</v>
      </c>
      <c r="C55" s="38" t="s">
        <v>398</v>
      </c>
      <c r="D55" s="38" t="s">
        <v>448</v>
      </c>
      <c r="E55" s="38">
        <v>44</v>
      </c>
      <c r="F55" s="38">
        <v>468</v>
      </c>
      <c r="G55" s="38"/>
    </row>
    <row r="56" spans="2:7" x14ac:dyDescent="0.3">
      <c r="B56" s="38" t="s">
        <v>451</v>
      </c>
      <c r="C56" s="38" t="s">
        <v>398</v>
      </c>
      <c r="D56" s="38" t="s">
        <v>448</v>
      </c>
      <c r="E56" s="38">
        <v>31</v>
      </c>
      <c r="F56" s="38">
        <v>336</v>
      </c>
      <c r="G56" s="38"/>
    </row>
    <row r="57" spans="2:7" x14ac:dyDescent="0.3">
      <c r="B57" s="38" t="s">
        <v>452</v>
      </c>
      <c r="C57" s="38" t="s">
        <v>398</v>
      </c>
      <c r="D57" s="38" t="s">
        <v>448</v>
      </c>
      <c r="E57" s="38">
        <v>6</v>
      </c>
      <c r="F57" s="38">
        <v>83</v>
      </c>
      <c r="G57" s="38"/>
    </row>
    <row r="58" spans="2:7" x14ac:dyDescent="0.3">
      <c r="B58" s="38" t="s">
        <v>453</v>
      </c>
      <c r="C58" s="38" t="s">
        <v>398</v>
      </c>
      <c r="D58" s="38" t="s">
        <v>448</v>
      </c>
      <c r="E58" s="38">
        <v>9</v>
      </c>
      <c r="F58" s="38">
        <v>74</v>
      </c>
      <c r="G58" s="38"/>
    </row>
    <row r="59" spans="2:7" x14ac:dyDescent="0.3">
      <c r="B59" s="38" t="s">
        <v>454</v>
      </c>
      <c r="C59" s="38" t="s">
        <v>398</v>
      </c>
      <c r="D59" s="38" t="s">
        <v>448</v>
      </c>
      <c r="E59" s="38">
        <v>4</v>
      </c>
      <c r="F59" s="38">
        <v>38</v>
      </c>
      <c r="G59" s="38"/>
    </row>
    <row r="60" spans="2:7" x14ac:dyDescent="0.3">
      <c r="B60" s="38" t="s">
        <v>455</v>
      </c>
      <c r="C60" s="38" t="s">
        <v>398</v>
      </c>
      <c r="D60" s="38" t="s">
        <v>448</v>
      </c>
      <c r="E60" s="38">
        <v>2</v>
      </c>
      <c r="F60" s="38">
        <v>12</v>
      </c>
      <c r="G60" s="38"/>
    </row>
    <row r="61" spans="2:7" x14ac:dyDescent="0.3">
      <c r="B61" s="38" t="s">
        <v>456</v>
      </c>
      <c r="C61" s="38" t="s">
        <v>407</v>
      </c>
      <c r="D61" s="38" t="s">
        <v>448</v>
      </c>
      <c r="E61" s="38">
        <v>66</v>
      </c>
      <c r="F61" s="38">
        <v>649</v>
      </c>
      <c r="G61" s="38"/>
    </row>
    <row r="62" spans="2:7" x14ac:dyDescent="0.3">
      <c r="B62" s="38" t="s">
        <v>457</v>
      </c>
      <c r="C62" s="38" t="s">
        <v>407</v>
      </c>
      <c r="D62" s="38" t="s">
        <v>448</v>
      </c>
      <c r="E62" s="38">
        <v>12</v>
      </c>
      <c r="F62" s="38">
        <v>74</v>
      </c>
      <c r="G62" s="38"/>
    </row>
    <row r="63" spans="2:7" x14ac:dyDescent="0.3">
      <c r="B63" s="38" t="s">
        <v>458</v>
      </c>
      <c r="C63" s="38" t="s">
        <v>407</v>
      </c>
      <c r="D63" s="38" t="s">
        <v>448</v>
      </c>
      <c r="E63" s="38">
        <v>9</v>
      </c>
      <c r="F63" s="38">
        <v>111</v>
      </c>
      <c r="G63" s="38"/>
    </row>
    <row r="64" spans="2:7" x14ac:dyDescent="0.3">
      <c r="B64" s="38" t="s">
        <v>459</v>
      </c>
      <c r="C64" s="38" t="s">
        <v>407</v>
      </c>
      <c r="D64" s="38" t="s">
        <v>448</v>
      </c>
      <c r="E64" s="38">
        <v>0</v>
      </c>
      <c r="F64" s="38">
        <v>0</v>
      </c>
      <c r="G64" s="38"/>
    </row>
    <row r="65" spans="2:7" x14ac:dyDescent="0.3">
      <c r="B65" s="38" t="s">
        <v>460</v>
      </c>
      <c r="C65" s="38" t="s">
        <v>407</v>
      </c>
      <c r="D65" s="38" t="s">
        <v>448</v>
      </c>
      <c r="E65" s="38">
        <v>0</v>
      </c>
      <c r="F65" s="38">
        <v>0</v>
      </c>
      <c r="G65" s="38"/>
    </row>
    <row r="66" spans="2:7" x14ac:dyDescent="0.3">
      <c r="B66" s="38" t="s">
        <v>461</v>
      </c>
      <c r="C66" s="38" t="s">
        <v>398</v>
      </c>
      <c r="D66" s="38" t="s">
        <v>462</v>
      </c>
      <c r="E66" s="38">
        <v>83</v>
      </c>
      <c r="F66" s="38">
        <v>1232</v>
      </c>
      <c r="G66" s="38"/>
    </row>
    <row r="67" spans="2:7" x14ac:dyDescent="0.3">
      <c r="B67" s="38" t="s">
        <v>463</v>
      </c>
      <c r="C67" s="38" t="s">
        <v>398</v>
      </c>
      <c r="D67" s="38" t="s">
        <v>462</v>
      </c>
      <c r="E67" s="38">
        <v>51</v>
      </c>
      <c r="F67" s="38">
        <v>645</v>
      </c>
      <c r="G67" s="38"/>
    </row>
    <row r="68" spans="2:7" x14ac:dyDescent="0.3">
      <c r="B68" s="38" t="s">
        <v>464</v>
      </c>
      <c r="C68" s="38" t="s">
        <v>398</v>
      </c>
      <c r="D68" s="38" t="s">
        <v>462</v>
      </c>
      <c r="E68" s="38">
        <v>32</v>
      </c>
      <c r="F68" s="38">
        <v>449</v>
      </c>
      <c r="G68" s="38"/>
    </row>
    <row r="69" spans="2:7" x14ac:dyDescent="0.3">
      <c r="B69" s="38" t="s">
        <v>465</v>
      </c>
      <c r="C69" s="38" t="s">
        <v>398</v>
      </c>
      <c r="D69" s="38" t="s">
        <v>462</v>
      </c>
      <c r="E69" s="38">
        <v>35</v>
      </c>
      <c r="F69" s="38">
        <v>439</v>
      </c>
      <c r="G69" s="38"/>
    </row>
    <row r="70" spans="2:7" x14ac:dyDescent="0.3">
      <c r="B70" s="38" t="s">
        <v>466</v>
      </c>
      <c r="C70" s="38" t="s">
        <v>398</v>
      </c>
      <c r="D70" s="38" t="s">
        <v>462</v>
      </c>
      <c r="E70" s="38">
        <v>36</v>
      </c>
      <c r="F70" s="38">
        <v>422</v>
      </c>
      <c r="G70" s="38"/>
    </row>
    <row r="71" spans="2:7" x14ac:dyDescent="0.3">
      <c r="B71" s="38" t="s">
        <v>467</v>
      </c>
      <c r="C71" s="38" t="s">
        <v>398</v>
      </c>
      <c r="D71" s="38" t="s">
        <v>462</v>
      </c>
      <c r="E71" s="38">
        <v>12</v>
      </c>
      <c r="F71" s="38">
        <v>232</v>
      </c>
      <c r="G71" s="38"/>
    </row>
    <row r="72" spans="2:7" x14ac:dyDescent="0.3">
      <c r="B72" s="38" t="s">
        <v>468</v>
      </c>
      <c r="C72" s="38" t="s">
        <v>398</v>
      </c>
      <c r="D72" s="38" t="s">
        <v>462</v>
      </c>
      <c r="E72" s="38">
        <v>4</v>
      </c>
      <c r="F72" s="38">
        <v>46</v>
      </c>
      <c r="G72" s="38"/>
    </row>
    <row r="73" spans="2:7" x14ac:dyDescent="0.3">
      <c r="B73" s="38" t="s">
        <v>469</v>
      </c>
      <c r="C73" s="38" t="s">
        <v>407</v>
      </c>
      <c r="D73" s="38" t="s">
        <v>462</v>
      </c>
      <c r="E73" s="38">
        <v>38</v>
      </c>
      <c r="F73" s="38">
        <v>397</v>
      </c>
      <c r="G73" s="38"/>
    </row>
    <row r="74" spans="2:7" x14ac:dyDescent="0.3">
      <c r="B74" s="38" t="s">
        <v>470</v>
      </c>
      <c r="C74" s="38" t="s">
        <v>407</v>
      </c>
      <c r="D74" s="38" t="s">
        <v>462</v>
      </c>
      <c r="E74" s="38">
        <v>24</v>
      </c>
      <c r="F74" s="38">
        <v>268</v>
      </c>
      <c r="G74" s="38"/>
    </row>
    <row r="75" spans="2:7" x14ac:dyDescent="0.3">
      <c r="B75" s="38" t="s">
        <v>471</v>
      </c>
      <c r="C75" s="38" t="s">
        <v>407</v>
      </c>
      <c r="D75" s="38" t="s">
        <v>462</v>
      </c>
      <c r="E75" s="38">
        <v>8</v>
      </c>
      <c r="F75" s="38">
        <v>116</v>
      </c>
      <c r="G75" s="38"/>
    </row>
    <row r="76" spans="2:7" x14ac:dyDescent="0.3">
      <c r="B76" s="38" t="s">
        <v>472</v>
      </c>
      <c r="C76" s="38" t="s">
        <v>407</v>
      </c>
      <c r="D76" s="38" t="s">
        <v>462</v>
      </c>
      <c r="E76" s="38">
        <v>0</v>
      </c>
      <c r="F76" s="38">
        <v>0</v>
      </c>
      <c r="G76" s="38"/>
    </row>
    <row r="77" spans="2:7" x14ac:dyDescent="0.3">
      <c r="B77" s="38" t="s">
        <v>473</v>
      </c>
      <c r="C77" s="38" t="s">
        <v>407</v>
      </c>
      <c r="D77" s="38" t="s">
        <v>462</v>
      </c>
      <c r="E77" s="38">
        <v>0</v>
      </c>
      <c r="F77" s="38">
        <v>0</v>
      </c>
      <c r="G77" s="38"/>
    </row>
    <row r="78" spans="2:7" x14ac:dyDescent="0.3">
      <c r="B78" s="38" t="s">
        <v>474</v>
      </c>
      <c r="C78" s="38" t="s">
        <v>398</v>
      </c>
      <c r="D78" s="38" t="s">
        <v>475</v>
      </c>
      <c r="E78" s="38">
        <v>71</v>
      </c>
      <c r="F78" s="38">
        <v>898</v>
      </c>
      <c r="G78" s="38"/>
    </row>
    <row r="79" spans="2:7" x14ac:dyDescent="0.3">
      <c r="B79" s="38" t="s">
        <v>476</v>
      </c>
      <c r="C79" s="38" t="s">
        <v>398</v>
      </c>
      <c r="D79" s="38" t="s">
        <v>475</v>
      </c>
      <c r="E79" s="38">
        <v>51</v>
      </c>
      <c r="F79" s="38">
        <v>796</v>
      </c>
      <c r="G79" s="38"/>
    </row>
    <row r="80" spans="2:7" x14ac:dyDescent="0.3">
      <c r="B80" s="38" t="s">
        <v>477</v>
      </c>
      <c r="C80" s="38" t="s">
        <v>398</v>
      </c>
      <c r="D80" s="38" t="s">
        <v>475</v>
      </c>
      <c r="E80" s="38">
        <v>36</v>
      </c>
      <c r="F80" s="38">
        <v>541</v>
      </c>
      <c r="G80" s="38"/>
    </row>
    <row r="81" spans="2:7" x14ac:dyDescent="0.3">
      <c r="B81" s="38" t="s">
        <v>478</v>
      </c>
      <c r="C81" s="38" t="s">
        <v>398</v>
      </c>
      <c r="D81" s="38" t="s">
        <v>475</v>
      </c>
      <c r="E81" s="38">
        <v>19</v>
      </c>
      <c r="F81" s="38">
        <v>396</v>
      </c>
      <c r="G81" s="38"/>
    </row>
    <row r="82" spans="2:7" x14ac:dyDescent="0.3">
      <c r="B82" s="38" t="s">
        <v>479</v>
      </c>
      <c r="C82" s="38" t="s">
        <v>398</v>
      </c>
      <c r="D82" s="38" t="s">
        <v>475</v>
      </c>
      <c r="E82" s="38">
        <v>11</v>
      </c>
      <c r="F82" s="38">
        <v>123</v>
      </c>
      <c r="G82" s="38"/>
    </row>
    <row r="83" spans="2:7" x14ac:dyDescent="0.3">
      <c r="B83" s="38" t="s">
        <v>480</v>
      </c>
      <c r="C83" s="38" t="s">
        <v>398</v>
      </c>
      <c r="D83" s="38" t="s">
        <v>475</v>
      </c>
      <c r="E83" s="38">
        <v>3</v>
      </c>
      <c r="F83" s="38">
        <v>49</v>
      </c>
      <c r="G83" s="38"/>
    </row>
    <row r="84" spans="2:7" x14ac:dyDescent="0.3">
      <c r="B84" s="38" t="s">
        <v>481</v>
      </c>
      <c r="C84" s="38" t="s">
        <v>407</v>
      </c>
      <c r="D84" s="38" t="s">
        <v>475</v>
      </c>
      <c r="E84" s="38">
        <v>78</v>
      </c>
      <c r="F84" s="38">
        <v>879</v>
      </c>
      <c r="G84" s="38"/>
    </row>
    <row r="85" spans="2:7" x14ac:dyDescent="0.3">
      <c r="B85" s="38" t="s">
        <v>482</v>
      </c>
      <c r="C85" s="38" t="s">
        <v>407</v>
      </c>
      <c r="D85" s="38" t="s">
        <v>475</v>
      </c>
      <c r="E85" s="38">
        <v>6</v>
      </c>
      <c r="F85" s="38">
        <v>89</v>
      </c>
      <c r="G85" s="38"/>
    </row>
    <row r="86" spans="2:7" x14ac:dyDescent="0.3">
      <c r="B86" s="38" t="s">
        <v>483</v>
      </c>
      <c r="C86" s="38" t="s">
        <v>407</v>
      </c>
      <c r="D86" s="38" t="s">
        <v>475</v>
      </c>
      <c r="E86" s="38">
        <v>10</v>
      </c>
      <c r="F86" s="38">
        <v>81</v>
      </c>
      <c r="G86" s="38"/>
    </row>
    <row r="87" spans="2:7" x14ac:dyDescent="0.3">
      <c r="B87" s="38" t="s">
        <v>484</v>
      </c>
      <c r="C87" s="38" t="s">
        <v>407</v>
      </c>
      <c r="D87" s="38" t="s">
        <v>475</v>
      </c>
      <c r="E87" s="38">
        <v>0</v>
      </c>
      <c r="F87" s="38">
        <v>0</v>
      </c>
      <c r="G87" s="38"/>
    </row>
    <row r="88" spans="2:7" x14ac:dyDescent="0.3">
      <c r="B88" s="38" t="s">
        <v>485</v>
      </c>
      <c r="C88" s="38" t="s">
        <v>407</v>
      </c>
      <c r="D88" s="38" t="s">
        <v>475</v>
      </c>
      <c r="E88" s="38">
        <v>0</v>
      </c>
      <c r="F88" s="38">
        <v>0</v>
      </c>
      <c r="G88" s="38"/>
    </row>
    <row r="89" spans="2:7" x14ac:dyDescent="0.3">
      <c r="B89" s="38" t="s">
        <v>486</v>
      </c>
      <c r="C89" s="38" t="s">
        <v>398</v>
      </c>
      <c r="D89" s="38" t="s">
        <v>487</v>
      </c>
      <c r="E89" s="38">
        <v>91</v>
      </c>
      <c r="F89" s="38">
        <v>1107</v>
      </c>
      <c r="G89" s="38"/>
    </row>
    <row r="90" spans="2:7" x14ac:dyDescent="0.3">
      <c r="B90" s="38" t="s">
        <v>488</v>
      </c>
      <c r="C90" s="38" t="s">
        <v>398</v>
      </c>
      <c r="D90" s="38" t="s">
        <v>487</v>
      </c>
      <c r="E90" s="38">
        <v>68</v>
      </c>
      <c r="F90" s="38">
        <v>897</v>
      </c>
      <c r="G90" s="38"/>
    </row>
    <row r="91" spans="2:7" x14ac:dyDescent="0.3">
      <c r="B91" s="38" t="s">
        <v>489</v>
      </c>
      <c r="C91" s="38" t="s">
        <v>398</v>
      </c>
      <c r="D91" s="38" t="s">
        <v>487</v>
      </c>
      <c r="E91" s="38">
        <v>50</v>
      </c>
      <c r="F91" s="38">
        <v>622</v>
      </c>
      <c r="G91" s="38"/>
    </row>
    <row r="92" spans="2:7" x14ac:dyDescent="0.3">
      <c r="B92" s="38" t="s">
        <v>490</v>
      </c>
      <c r="C92" s="38" t="s">
        <v>398</v>
      </c>
      <c r="D92" s="38" t="s">
        <v>487</v>
      </c>
      <c r="E92" s="38">
        <v>12</v>
      </c>
      <c r="F92" s="38">
        <v>144</v>
      </c>
      <c r="G92" s="38"/>
    </row>
    <row r="93" spans="2:7" x14ac:dyDescent="0.3">
      <c r="B93" s="38" t="s">
        <v>491</v>
      </c>
      <c r="C93" s="38" t="s">
        <v>398</v>
      </c>
      <c r="D93" s="38" t="s">
        <v>487</v>
      </c>
      <c r="E93" s="38">
        <v>11</v>
      </c>
      <c r="F93" s="38">
        <v>135</v>
      </c>
      <c r="G93" s="38"/>
    </row>
    <row r="94" spans="2:7" x14ac:dyDescent="0.3">
      <c r="B94" s="38" t="s">
        <v>492</v>
      </c>
      <c r="C94" s="38" t="s">
        <v>398</v>
      </c>
      <c r="D94" s="38" t="s">
        <v>487</v>
      </c>
      <c r="E94" s="38">
        <v>4</v>
      </c>
      <c r="F94" s="38">
        <v>34</v>
      </c>
      <c r="G94" s="38"/>
    </row>
    <row r="95" spans="2:7" x14ac:dyDescent="0.3">
      <c r="B95" s="38" t="s">
        <v>493</v>
      </c>
      <c r="C95" s="38" t="s">
        <v>407</v>
      </c>
      <c r="D95" s="38" t="s">
        <v>487</v>
      </c>
      <c r="E95" s="38">
        <v>38</v>
      </c>
      <c r="F95" s="38">
        <v>373</v>
      </c>
      <c r="G95" s="38"/>
    </row>
    <row r="96" spans="2:7" x14ac:dyDescent="0.3">
      <c r="B96" s="38" t="s">
        <v>494</v>
      </c>
      <c r="C96" s="38" t="s">
        <v>407</v>
      </c>
      <c r="D96" s="38" t="s">
        <v>487</v>
      </c>
      <c r="E96" s="38">
        <v>9</v>
      </c>
      <c r="F96" s="38">
        <v>101</v>
      </c>
      <c r="G96" s="38"/>
    </row>
    <row r="97" spans="2:7" x14ac:dyDescent="0.3">
      <c r="B97" s="38" t="s">
        <v>495</v>
      </c>
      <c r="C97" s="38" t="s">
        <v>407</v>
      </c>
      <c r="D97" s="38" t="s">
        <v>487</v>
      </c>
      <c r="E97" s="38">
        <v>6</v>
      </c>
      <c r="F97" s="38">
        <v>58</v>
      </c>
      <c r="G97" s="38"/>
    </row>
    <row r="98" spans="2:7" x14ac:dyDescent="0.3">
      <c r="B98" s="38" t="s">
        <v>496</v>
      </c>
      <c r="C98" s="38" t="s">
        <v>407</v>
      </c>
      <c r="D98" s="38" t="s">
        <v>487</v>
      </c>
      <c r="E98" s="38">
        <v>1</v>
      </c>
      <c r="F98" s="38">
        <v>9</v>
      </c>
      <c r="G98" s="38"/>
    </row>
    <row r="99" spans="2:7" x14ac:dyDescent="0.3">
      <c r="B99" s="38" t="s">
        <v>497</v>
      </c>
      <c r="C99" s="38" t="s">
        <v>407</v>
      </c>
      <c r="D99" s="38" t="s">
        <v>487</v>
      </c>
      <c r="E99" s="38">
        <v>0</v>
      </c>
      <c r="F99" s="38">
        <v>0</v>
      </c>
      <c r="G99" s="38"/>
    </row>
    <row r="100" spans="2:7" x14ac:dyDescent="0.3">
      <c r="B100" s="38" t="s">
        <v>498</v>
      </c>
      <c r="C100" s="38" t="s">
        <v>398</v>
      </c>
      <c r="D100" s="38" t="s">
        <v>499</v>
      </c>
      <c r="E100" s="38">
        <v>86</v>
      </c>
      <c r="F100" s="38">
        <v>1261</v>
      </c>
      <c r="G100" s="38"/>
    </row>
    <row r="101" spans="2:7" x14ac:dyDescent="0.3">
      <c r="B101" s="38" t="s">
        <v>500</v>
      </c>
      <c r="C101" s="38" t="s">
        <v>398</v>
      </c>
      <c r="D101" s="38" t="s">
        <v>499</v>
      </c>
      <c r="E101" s="38">
        <v>66</v>
      </c>
      <c r="F101" s="38">
        <v>764</v>
      </c>
      <c r="G101" s="38"/>
    </row>
    <row r="102" spans="2:7" x14ac:dyDescent="0.3">
      <c r="B102" s="38" t="s">
        <v>501</v>
      </c>
      <c r="C102" s="38" t="s">
        <v>398</v>
      </c>
      <c r="D102" s="38" t="s">
        <v>499</v>
      </c>
      <c r="E102" s="38">
        <v>37</v>
      </c>
      <c r="F102" s="38">
        <v>467</v>
      </c>
      <c r="G102" s="38"/>
    </row>
    <row r="103" spans="2:7" x14ac:dyDescent="0.3">
      <c r="B103" s="38" t="s">
        <v>502</v>
      </c>
      <c r="C103" s="38" t="s">
        <v>398</v>
      </c>
      <c r="D103" s="38" t="s">
        <v>499</v>
      </c>
      <c r="E103" s="38">
        <v>0</v>
      </c>
      <c r="F103" s="38">
        <v>0</v>
      </c>
      <c r="G103" s="38"/>
    </row>
    <row r="104" spans="2:7" x14ac:dyDescent="0.3">
      <c r="B104" s="38" t="s">
        <v>503</v>
      </c>
      <c r="C104" s="38" t="s">
        <v>398</v>
      </c>
      <c r="D104" s="38" t="s">
        <v>499</v>
      </c>
      <c r="E104" s="38">
        <v>4</v>
      </c>
      <c r="F104" s="38">
        <v>29</v>
      </c>
      <c r="G104" s="38"/>
    </row>
    <row r="105" spans="2:7" x14ac:dyDescent="0.3">
      <c r="B105" s="38" t="s">
        <v>504</v>
      </c>
      <c r="C105" s="38" t="s">
        <v>407</v>
      </c>
      <c r="D105" s="38" t="s">
        <v>499</v>
      </c>
      <c r="E105" s="38">
        <v>42</v>
      </c>
      <c r="F105" s="38">
        <v>487</v>
      </c>
      <c r="G105" s="38"/>
    </row>
    <row r="106" spans="2:7" x14ac:dyDescent="0.3">
      <c r="B106" s="38" t="s">
        <v>505</v>
      </c>
      <c r="C106" s="38" t="s">
        <v>407</v>
      </c>
      <c r="D106" s="38" t="s">
        <v>499</v>
      </c>
      <c r="E106" s="38">
        <v>25</v>
      </c>
      <c r="F106" s="38">
        <v>255</v>
      </c>
      <c r="G106" s="38"/>
    </row>
    <row r="107" spans="2:7" x14ac:dyDescent="0.3">
      <c r="B107" s="38" t="s">
        <v>506</v>
      </c>
      <c r="C107" s="38" t="s">
        <v>407</v>
      </c>
      <c r="D107" s="38" t="s">
        <v>499</v>
      </c>
      <c r="E107" s="38">
        <v>17</v>
      </c>
      <c r="F107" s="38">
        <v>145</v>
      </c>
      <c r="G107" s="38"/>
    </row>
    <row r="108" spans="2:7" x14ac:dyDescent="0.3">
      <c r="B108" s="38" t="s">
        <v>507</v>
      </c>
      <c r="C108" s="38" t="s">
        <v>407</v>
      </c>
      <c r="D108" s="38" t="s">
        <v>499</v>
      </c>
      <c r="E108" s="38">
        <v>4</v>
      </c>
      <c r="F108" s="38">
        <v>32</v>
      </c>
      <c r="G108" s="38"/>
    </row>
    <row r="109" spans="2:7" x14ac:dyDescent="0.3">
      <c r="B109" s="38" t="s">
        <v>508</v>
      </c>
      <c r="C109" s="38" t="s">
        <v>407</v>
      </c>
      <c r="D109" s="38" t="s">
        <v>499</v>
      </c>
      <c r="E109" s="38">
        <v>0</v>
      </c>
      <c r="F109" s="38">
        <v>0</v>
      </c>
      <c r="G109" s="38"/>
    </row>
    <row r="110" spans="2:7" x14ac:dyDescent="0.3">
      <c r="B110" s="38" t="s">
        <v>509</v>
      </c>
      <c r="C110" s="38" t="s">
        <v>398</v>
      </c>
      <c r="D110" s="38" t="s">
        <v>510</v>
      </c>
      <c r="E110" s="38">
        <v>93</v>
      </c>
      <c r="F110" s="38">
        <v>1311</v>
      </c>
      <c r="G110" s="38"/>
    </row>
    <row r="111" spans="2:7" x14ac:dyDescent="0.3">
      <c r="B111" s="38" t="s">
        <v>511</v>
      </c>
      <c r="C111" s="38" t="s">
        <v>398</v>
      </c>
      <c r="D111" s="38" t="s">
        <v>510</v>
      </c>
      <c r="E111" s="38">
        <v>72</v>
      </c>
      <c r="F111" s="38">
        <v>1023</v>
      </c>
      <c r="G111" s="38"/>
    </row>
    <row r="112" spans="2:7" x14ac:dyDescent="0.3">
      <c r="B112" s="38" t="s">
        <v>512</v>
      </c>
      <c r="C112" s="38" t="s">
        <v>398</v>
      </c>
      <c r="D112" s="38" t="s">
        <v>510</v>
      </c>
      <c r="E112" s="38">
        <v>37</v>
      </c>
      <c r="F112" s="38">
        <v>486</v>
      </c>
      <c r="G112" s="38"/>
    </row>
    <row r="113" spans="2:7" x14ac:dyDescent="0.3">
      <c r="B113" s="38" t="s">
        <v>513</v>
      </c>
      <c r="C113" s="38" t="s">
        <v>398</v>
      </c>
      <c r="D113" s="38" t="s">
        <v>510</v>
      </c>
      <c r="E113" s="38">
        <v>16</v>
      </c>
      <c r="F113" s="38">
        <v>270</v>
      </c>
      <c r="G113" s="38"/>
    </row>
    <row r="114" spans="2:7" x14ac:dyDescent="0.3">
      <c r="B114" s="38" t="s">
        <v>514</v>
      </c>
      <c r="C114" s="38" t="s">
        <v>398</v>
      </c>
      <c r="D114" s="38" t="s">
        <v>510</v>
      </c>
      <c r="E114" s="38">
        <v>17</v>
      </c>
      <c r="F114" s="38">
        <v>250</v>
      </c>
      <c r="G114" s="38"/>
    </row>
    <row r="115" spans="2:7" x14ac:dyDescent="0.3">
      <c r="B115" s="38" t="s">
        <v>515</v>
      </c>
      <c r="C115" s="38" t="s">
        <v>398</v>
      </c>
      <c r="D115" s="38" t="s">
        <v>510</v>
      </c>
      <c r="E115" s="38">
        <v>3</v>
      </c>
      <c r="F115" s="38">
        <v>54</v>
      </c>
      <c r="G115" s="38"/>
    </row>
    <row r="116" spans="2:7" x14ac:dyDescent="0.3">
      <c r="B116" s="38" t="s">
        <v>516</v>
      </c>
      <c r="C116" s="38" t="s">
        <v>398</v>
      </c>
      <c r="D116" s="38" t="s">
        <v>510</v>
      </c>
      <c r="E116" s="38">
        <v>2</v>
      </c>
      <c r="F116" s="38">
        <v>45</v>
      </c>
      <c r="G116" s="38"/>
    </row>
    <row r="117" spans="2:7" x14ac:dyDescent="0.3">
      <c r="B117" s="38" t="s">
        <v>517</v>
      </c>
      <c r="C117" s="38" t="s">
        <v>398</v>
      </c>
      <c r="D117" s="38" t="s">
        <v>510</v>
      </c>
      <c r="E117" s="38">
        <v>1</v>
      </c>
      <c r="F117" s="38">
        <v>17</v>
      </c>
      <c r="G117" s="38"/>
    </row>
    <row r="118" spans="2:7" x14ac:dyDescent="0.3">
      <c r="B118" s="38" t="s">
        <v>518</v>
      </c>
      <c r="C118" s="38" t="s">
        <v>407</v>
      </c>
      <c r="D118" s="38" t="s">
        <v>510</v>
      </c>
      <c r="E118" s="38">
        <v>25</v>
      </c>
      <c r="F118" s="38">
        <v>266</v>
      </c>
      <c r="G118" s="38"/>
    </row>
    <row r="119" spans="2:7" x14ac:dyDescent="0.3">
      <c r="B119" s="38" t="s">
        <v>519</v>
      </c>
      <c r="C119" s="38" t="s">
        <v>407</v>
      </c>
      <c r="D119" s="38" t="s">
        <v>510</v>
      </c>
      <c r="E119" s="38">
        <v>23</v>
      </c>
      <c r="F119" s="38">
        <v>315</v>
      </c>
      <c r="G119" s="38"/>
    </row>
    <row r="120" spans="2:7" x14ac:dyDescent="0.3">
      <c r="B120" s="38" t="s">
        <v>520</v>
      </c>
      <c r="C120" s="38" t="s">
        <v>407</v>
      </c>
      <c r="D120" s="38" t="s">
        <v>510</v>
      </c>
      <c r="E120" s="38">
        <v>7</v>
      </c>
      <c r="F120" s="38">
        <v>91</v>
      </c>
      <c r="G120" s="38"/>
    </row>
    <row r="121" spans="2:7" x14ac:dyDescent="0.3">
      <c r="B121" s="38" t="s">
        <v>521</v>
      </c>
      <c r="C121" s="38" t="s">
        <v>407</v>
      </c>
      <c r="D121" s="38" t="s">
        <v>510</v>
      </c>
      <c r="E121" s="38">
        <v>9</v>
      </c>
      <c r="F121" s="38">
        <v>94</v>
      </c>
      <c r="G121" s="38"/>
    </row>
    <row r="122" spans="2:7" x14ac:dyDescent="0.3">
      <c r="B122" s="38" t="s">
        <v>522</v>
      </c>
      <c r="C122" s="38" t="s">
        <v>407</v>
      </c>
      <c r="D122" s="38" t="s">
        <v>510</v>
      </c>
      <c r="E122" s="38">
        <v>0</v>
      </c>
      <c r="F122" s="38">
        <v>0</v>
      </c>
      <c r="G122" s="38"/>
    </row>
    <row r="123" spans="2:7" x14ac:dyDescent="0.3">
      <c r="B123" s="38" t="s">
        <v>523</v>
      </c>
      <c r="C123" s="38" t="s">
        <v>398</v>
      </c>
      <c r="D123" s="38" t="s">
        <v>524</v>
      </c>
      <c r="E123" s="38">
        <v>86</v>
      </c>
      <c r="F123" s="38">
        <v>1196</v>
      </c>
      <c r="G123" s="38"/>
    </row>
    <row r="124" spans="2:7" x14ac:dyDescent="0.3">
      <c r="B124" s="38" t="s">
        <v>525</v>
      </c>
      <c r="C124" s="38" t="s">
        <v>398</v>
      </c>
      <c r="D124" s="38" t="s">
        <v>524</v>
      </c>
      <c r="E124" s="38">
        <v>64</v>
      </c>
      <c r="F124" s="38">
        <v>879</v>
      </c>
      <c r="G124" s="38"/>
    </row>
    <row r="125" spans="2:7" x14ac:dyDescent="0.3">
      <c r="B125" s="38" t="s">
        <v>526</v>
      </c>
      <c r="C125" s="38" t="s">
        <v>398</v>
      </c>
      <c r="D125" s="38" t="s">
        <v>524</v>
      </c>
      <c r="E125" s="38">
        <v>32</v>
      </c>
      <c r="F125" s="38">
        <v>413</v>
      </c>
      <c r="G125" s="38"/>
    </row>
    <row r="126" spans="2:7" x14ac:dyDescent="0.3">
      <c r="B126" s="38" t="s">
        <v>527</v>
      </c>
      <c r="C126" s="38" t="s">
        <v>398</v>
      </c>
      <c r="D126" s="38" t="s">
        <v>524</v>
      </c>
      <c r="E126" s="38">
        <v>31</v>
      </c>
      <c r="F126" s="38">
        <v>306</v>
      </c>
      <c r="G126" s="38"/>
    </row>
    <row r="127" spans="2:7" x14ac:dyDescent="0.3">
      <c r="B127" s="38" t="s">
        <v>528</v>
      </c>
      <c r="C127" s="38" t="s">
        <v>398</v>
      </c>
      <c r="D127" s="38" t="s">
        <v>524</v>
      </c>
      <c r="E127" s="38">
        <v>12</v>
      </c>
      <c r="F127" s="38">
        <v>209</v>
      </c>
      <c r="G127" s="38"/>
    </row>
    <row r="128" spans="2:7" x14ac:dyDescent="0.3">
      <c r="B128" s="38" t="s">
        <v>529</v>
      </c>
      <c r="C128" s="38" t="s">
        <v>407</v>
      </c>
      <c r="D128" s="38" t="s">
        <v>524</v>
      </c>
      <c r="E128" s="38">
        <v>32</v>
      </c>
      <c r="F128" s="38">
        <v>340</v>
      </c>
      <c r="G128" s="38"/>
    </row>
    <row r="129" spans="2:7" x14ac:dyDescent="0.3">
      <c r="B129" s="38" t="s">
        <v>530</v>
      </c>
      <c r="C129" s="38" t="s">
        <v>407</v>
      </c>
      <c r="D129" s="38" t="s">
        <v>524</v>
      </c>
      <c r="E129" s="38">
        <v>28</v>
      </c>
      <c r="F129" s="38">
        <v>278</v>
      </c>
      <c r="G129" s="38"/>
    </row>
    <row r="130" spans="2:7" x14ac:dyDescent="0.3">
      <c r="B130" s="38" t="s">
        <v>531</v>
      </c>
      <c r="C130" s="38" t="s">
        <v>407</v>
      </c>
      <c r="D130" s="38" t="s">
        <v>524</v>
      </c>
      <c r="E130" s="38">
        <v>0</v>
      </c>
      <c r="F130" s="38">
        <v>0</v>
      </c>
      <c r="G130" s="38"/>
    </row>
    <row r="131" spans="2:7" x14ac:dyDescent="0.3">
      <c r="B131" s="38" t="s">
        <v>532</v>
      </c>
      <c r="C131" s="38" t="s">
        <v>407</v>
      </c>
      <c r="D131" s="38" t="s">
        <v>524</v>
      </c>
      <c r="E131" s="38">
        <v>0</v>
      </c>
      <c r="F131" s="38">
        <v>0</v>
      </c>
      <c r="G131" s="38"/>
    </row>
    <row r="132" spans="2:7" x14ac:dyDescent="0.3">
      <c r="B132" s="38" t="s">
        <v>533</v>
      </c>
      <c r="C132" s="38" t="s">
        <v>407</v>
      </c>
      <c r="D132" s="38" t="s">
        <v>524</v>
      </c>
      <c r="E132" s="38">
        <v>0</v>
      </c>
      <c r="F132" s="38">
        <v>0</v>
      </c>
      <c r="G132" s="38"/>
    </row>
    <row r="133" spans="2:7" x14ac:dyDescent="0.3">
      <c r="B133" s="38" t="s">
        <v>534</v>
      </c>
      <c r="C133" s="38" t="s">
        <v>398</v>
      </c>
      <c r="D133" s="38" t="s">
        <v>535</v>
      </c>
      <c r="E133" s="38">
        <v>74</v>
      </c>
      <c r="F133" s="38">
        <v>1057</v>
      </c>
      <c r="G133" s="38"/>
    </row>
    <row r="134" spans="2:7" x14ac:dyDescent="0.3">
      <c r="B134" s="38" t="s">
        <v>536</v>
      </c>
      <c r="C134" s="38" t="s">
        <v>398</v>
      </c>
      <c r="D134" s="38" t="s">
        <v>535</v>
      </c>
      <c r="E134" s="38">
        <v>68</v>
      </c>
      <c r="F134" s="38">
        <v>973</v>
      </c>
      <c r="G134" s="38"/>
    </row>
    <row r="135" spans="2:7" x14ac:dyDescent="0.3">
      <c r="B135" s="38" t="s">
        <v>537</v>
      </c>
      <c r="C135" s="38" t="s">
        <v>398</v>
      </c>
      <c r="D135" s="38" t="s">
        <v>535</v>
      </c>
      <c r="E135" s="38">
        <v>32</v>
      </c>
      <c r="F135" s="38">
        <v>440</v>
      </c>
      <c r="G135" s="38"/>
    </row>
    <row r="136" spans="2:7" x14ac:dyDescent="0.3">
      <c r="B136" s="38" t="s">
        <v>538</v>
      </c>
      <c r="C136" s="38" t="s">
        <v>398</v>
      </c>
      <c r="D136" s="38" t="s">
        <v>535</v>
      </c>
      <c r="E136" s="38">
        <v>20</v>
      </c>
      <c r="F136" s="38">
        <v>274</v>
      </c>
      <c r="G136" s="38"/>
    </row>
    <row r="137" spans="2:7" x14ac:dyDescent="0.3">
      <c r="B137" s="38" t="s">
        <v>539</v>
      </c>
      <c r="C137" s="38" t="s">
        <v>398</v>
      </c>
      <c r="D137" s="38" t="s">
        <v>535</v>
      </c>
      <c r="E137" s="38">
        <v>18</v>
      </c>
      <c r="F137" s="38">
        <v>197</v>
      </c>
      <c r="G137" s="38"/>
    </row>
    <row r="138" spans="2:7" x14ac:dyDescent="0.3">
      <c r="B138" s="38" t="s">
        <v>540</v>
      </c>
      <c r="C138" s="38" t="s">
        <v>398</v>
      </c>
      <c r="D138" s="38" t="s">
        <v>535</v>
      </c>
      <c r="E138" s="38">
        <v>8</v>
      </c>
      <c r="F138" s="38">
        <v>182</v>
      </c>
      <c r="G138" s="38"/>
    </row>
    <row r="139" spans="2:7" x14ac:dyDescent="0.3">
      <c r="B139" s="38" t="s">
        <v>541</v>
      </c>
      <c r="C139" s="38" t="s">
        <v>398</v>
      </c>
      <c r="D139" s="38" t="s">
        <v>535</v>
      </c>
      <c r="E139" s="38">
        <v>2</v>
      </c>
      <c r="F139" s="38">
        <v>23</v>
      </c>
      <c r="G139" s="38"/>
    </row>
    <row r="140" spans="2:7" x14ac:dyDescent="0.3">
      <c r="B140" s="38" t="s">
        <v>542</v>
      </c>
      <c r="C140" s="38" t="s">
        <v>407</v>
      </c>
      <c r="D140" s="38" t="s">
        <v>535</v>
      </c>
      <c r="E140" s="38">
        <v>64</v>
      </c>
      <c r="F140" s="38">
        <v>697</v>
      </c>
      <c r="G140" s="38"/>
    </row>
    <row r="141" spans="2:7" x14ac:dyDescent="0.3">
      <c r="B141" s="38" t="s">
        <v>543</v>
      </c>
      <c r="C141" s="38" t="s">
        <v>407</v>
      </c>
      <c r="D141" s="38" t="s">
        <v>535</v>
      </c>
      <c r="E141" s="38">
        <v>8</v>
      </c>
      <c r="F141" s="38">
        <v>42</v>
      </c>
      <c r="G141" s="38"/>
    </row>
    <row r="142" spans="2:7" x14ac:dyDescent="0.3">
      <c r="B142" s="38" t="s">
        <v>544</v>
      </c>
      <c r="C142" s="38" t="s">
        <v>407</v>
      </c>
      <c r="D142" s="38" t="s">
        <v>535</v>
      </c>
      <c r="E142" s="38">
        <v>1</v>
      </c>
      <c r="F142" s="38">
        <v>12</v>
      </c>
      <c r="G142" s="38"/>
    </row>
    <row r="143" spans="2:7" x14ac:dyDescent="0.3">
      <c r="B143" s="38" t="s">
        <v>545</v>
      </c>
      <c r="C143" s="38" t="s">
        <v>407</v>
      </c>
      <c r="D143" s="38" t="s">
        <v>535</v>
      </c>
      <c r="E143" s="38">
        <v>0</v>
      </c>
      <c r="F143" s="38">
        <v>0</v>
      </c>
      <c r="G143" s="38"/>
    </row>
    <row r="144" spans="2:7" x14ac:dyDescent="0.3">
      <c r="B144" s="38" t="s">
        <v>546</v>
      </c>
      <c r="C144" s="38" t="s">
        <v>407</v>
      </c>
      <c r="D144" s="38" t="s">
        <v>535</v>
      </c>
      <c r="E144" s="38">
        <v>0</v>
      </c>
      <c r="F144" s="38">
        <v>0</v>
      </c>
      <c r="G144" s="38"/>
    </row>
    <row r="145" spans="2:7" x14ac:dyDescent="0.3">
      <c r="B145" s="38" t="s">
        <v>547</v>
      </c>
      <c r="C145" s="38" t="s">
        <v>398</v>
      </c>
      <c r="D145" s="38" t="s">
        <v>548</v>
      </c>
      <c r="E145" s="38">
        <v>91</v>
      </c>
      <c r="F145" s="38">
        <v>1289</v>
      </c>
      <c r="G145" s="38"/>
    </row>
    <row r="146" spans="2:7" x14ac:dyDescent="0.3">
      <c r="B146" s="38" t="s">
        <v>549</v>
      </c>
      <c r="C146" s="38" t="s">
        <v>398</v>
      </c>
      <c r="D146" s="38" t="s">
        <v>548</v>
      </c>
      <c r="E146" s="38">
        <v>59</v>
      </c>
      <c r="F146" s="38">
        <v>861</v>
      </c>
      <c r="G146" s="38"/>
    </row>
    <row r="147" spans="2:7" x14ac:dyDescent="0.3">
      <c r="B147" s="38" t="s">
        <v>550</v>
      </c>
      <c r="C147" s="38" t="s">
        <v>398</v>
      </c>
      <c r="D147" s="38" t="s">
        <v>548</v>
      </c>
      <c r="E147" s="38">
        <v>33</v>
      </c>
      <c r="F147" s="38">
        <v>432</v>
      </c>
      <c r="G147" s="38"/>
    </row>
    <row r="148" spans="2:7" x14ac:dyDescent="0.3">
      <c r="B148" s="38" t="s">
        <v>551</v>
      </c>
      <c r="C148" s="38" t="s">
        <v>398</v>
      </c>
      <c r="D148" s="38" t="s">
        <v>548</v>
      </c>
      <c r="E148" s="38">
        <v>34</v>
      </c>
      <c r="F148" s="38">
        <v>376</v>
      </c>
      <c r="G148" s="38"/>
    </row>
    <row r="149" spans="2:7" x14ac:dyDescent="0.3">
      <c r="B149" s="38" t="s">
        <v>552</v>
      </c>
      <c r="C149" s="38" t="s">
        <v>398</v>
      </c>
      <c r="D149" s="38" t="s">
        <v>548</v>
      </c>
      <c r="E149" s="38">
        <v>18</v>
      </c>
      <c r="F149" s="38">
        <v>234</v>
      </c>
      <c r="G149" s="38"/>
    </row>
    <row r="150" spans="2:7" x14ac:dyDescent="0.3">
      <c r="B150" s="38" t="s">
        <v>553</v>
      </c>
      <c r="C150" s="38" t="s">
        <v>398</v>
      </c>
      <c r="D150" s="38" t="s">
        <v>548</v>
      </c>
      <c r="E150" s="38">
        <v>11</v>
      </c>
      <c r="F150" s="38">
        <v>221</v>
      </c>
      <c r="G150" s="38"/>
    </row>
    <row r="151" spans="2:7" x14ac:dyDescent="0.3">
      <c r="B151" s="38" t="s">
        <v>554</v>
      </c>
      <c r="C151" s="38" t="s">
        <v>398</v>
      </c>
      <c r="D151" s="38" t="s">
        <v>548</v>
      </c>
      <c r="E151" s="38">
        <v>12</v>
      </c>
      <c r="F151" s="38">
        <v>142</v>
      </c>
      <c r="G151" s="38"/>
    </row>
    <row r="152" spans="2:7" x14ac:dyDescent="0.3">
      <c r="B152" s="38" t="s">
        <v>555</v>
      </c>
      <c r="C152" s="38" t="s">
        <v>407</v>
      </c>
      <c r="D152" s="38" t="s">
        <v>548</v>
      </c>
      <c r="E152" s="38">
        <v>28</v>
      </c>
      <c r="F152" s="38">
        <v>298</v>
      </c>
      <c r="G152" s="38"/>
    </row>
    <row r="153" spans="2:7" x14ac:dyDescent="0.3">
      <c r="B153" s="38" t="s">
        <v>556</v>
      </c>
      <c r="C153" s="38" t="s">
        <v>407</v>
      </c>
      <c r="D153" s="38" t="s">
        <v>548</v>
      </c>
      <c r="E153" s="38">
        <v>24</v>
      </c>
      <c r="F153" s="38">
        <v>284</v>
      </c>
      <c r="G153" s="38"/>
    </row>
    <row r="154" spans="2:7" x14ac:dyDescent="0.3">
      <c r="B154" s="38" t="s">
        <v>557</v>
      </c>
      <c r="C154" s="38" t="s">
        <v>407</v>
      </c>
      <c r="D154" s="38" t="s">
        <v>548</v>
      </c>
      <c r="E154" s="38">
        <v>21</v>
      </c>
      <c r="F154" s="38">
        <v>167</v>
      </c>
      <c r="G154" s="38"/>
    </row>
    <row r="155" spans="2:7" x14ac:dyDescent="0.3">
      <c r="B155" s="38" t="s">
        <v>558</v>
      </c>
      <c r="C155" s="38" t="s">
        <v>407</v>
      </c>
      <c r="D155" s="38" t="s">
        <v>548</v>
      </c>
      <c r="E155" s="38">
        <v>0</v>
      </c>
      <c r="F155" s="38">
        <v>0</v>
      </c>
      <c r="G155" s="38"/>
    </row>
    <row r="156" spans="2:7" x14ac:dyDescent="0.3">
      <c r="B156" s="38" t="s">
        <v>559</v>
      </c>
      <c r="C156" s="38" t="s">
        <v>407</v>
      </c>
      <c r="D156" s="38" t="s">
        <v>548</v>
      </c>
      <c r="E156" s="38">
        <v>2</v>
      </c>
      <c r="F156" s="38">
        <v>4</v>
      </c>
      <c r="G156" s="38"/>
    </row>
    <row r="157" spans="2:7" x14ac:dyDescent="0.3">
      <c r="B157" s="38" t="s">
        <v>560</v>
      </c>
      <c r="C157" s="38" t="s">
        <v>398</v>
      </c>
      <c r="D157" s="38" t="s">
        <v>561</v>
      </c>
      <c r="E157" s="38">
        <v>74</v>
      </c>
      <c r="F157" s="38">
        <v>1009</v>
      </c>
      <c r="G157" s="38"/>
    </row>
    <row r="158" spans="2:7" x14ac:dyDescent="0.3">
      <c r="B158" s="38" t="s">
        <v>562</v>
      </c>
      <c r="C158" s="38" t="s">
        <v>398</v>
      </c>
      <c r="D158" s="38" t="s">
        <v>561</v>
      </c>
      <c r="E158" s="38">
        <v>63</v>
      </c>
      <c r="F158" s="38">
        <v>933</v>
      </c>
      <c r="G158" s="38"/>
    </row>
    <row r="159" spans="2:7" x14ac:dyDescent="0.3">
      <c r="B159" s="38" t="s">
        <v>563</v>
      </c>
      <c r="C159" s="38" t="s">
        <v>398</v>
      </c>
      <c r="D159" s="38" t="s">
        <v>561</v>
      </c>
      <c r="E159" s="38">
        <v>37</v>
      </c>
      <c r="F159" s="38">
        <v>475</v>
      </c>
      <c r="G159" s="38"/>
    </row>
    <row r="160" spans="2:7" x14ac:dyDescent="0.3">
      <c r="B160" s="38" t="s">
        <v>564</v>
      </c>
      <c r="C160" s="38" t="s">
        <v>398</v>
      </c>
      <c r="D160" s="38" t="s">
        <v>561</v>
      </c>
      <c r="E160" s="38">
        <v>26</v>
      </c>
      <c r="F160" s="38">
        <v>384</v>
      </c>
      <c r="G160" s="38"/>
    </row>
    <row r="161" spans="2:7" x14ac:dyDescent="0.3">
      <c r="B161" s="38" t="s">
        <v>565</v>
      </c>
      <c r="C161" s="38" t="s">
        <v>398</v>
      </c>
      <c r="D161" s="38" t="s">
        <v>561</v>
      </c>
      <c r="E161" s="38">
        <v>18</v>
      </c>
      <c r="F161" s="38">
        <v>181</v>
      </c>
      <c r="G161" s="38"/>
    </row>
    <row r="162" spans="2:7" x14ac:dyDescent="0.3">
      <c r="B162" s="38" t="s">
        <v>566</v>
      </c>
      <c r="C162" s="38" t="s">
        <v>398</v>
      </c>
      <c r="D162" s="38" t="s">
        <v>561</v>
      </c>
      <c r="E162" s="38">
        <v>13</v>
      </c>
      <c r="F162" s="38">
        <v>169</v>
      </c>
      <c r="G162" s="38"/>
    </row>
    <row r="163" spans="2:7" x14ac:dyDescent="0.3">
      <c r="B163" s="38" t="s">
        <v>567</v>
      </c>
      <c r="C163" s="38" t="s">
        <v>398</v>
      </c>
      <c r="D163" s="38" t="s">
        <v>561</v>
      </c>
      <c r="E163" s="38">
        <v>0</v>
      </c>
      <c r="F163" s="38">
        <v>10</v>
      </c>
      <c r="G163" s="38"/>
    </row>
    <row r="164" spans="2:7" x14ac:dyDescent="0.3">
      <c r="B164" s="38" t="s">
        <v>568</v>
      </c>
      <c r="C164" s="38" t="s">
        <v>407</v>
      </c>
      <c r="D164" s="38" t="s">
        <v>561</v>
      </c>
      <c r="E164" s="38">
        <v>39</v>
      </c>
      <c r="F164" s="38">
        <v>357</v>
      </c>
      <c r="G164" s="38"/>
    </row>
    <row r="165" spans="2:7" x14ac:dyDescent="0.3">
      <c r="B165" s="38" t="s">
        <v>569</v>
      </c>
      <c r="C165" s="38" t="s">
        <v>407</v>
      </c>
      <c r="D165" s="38" t="s">
        <v>561</v>
      </c>
      <c r="E165" s="38">
        <v>27</v>
      </c>
      <c r="F165" s="38">
        <v>293</v>
      </c>
      <c r="G165" s="38"/>
    </row>
    <row r="166" spans="2:7" x14ac:dyDescent="0.3">
      <c r="B166" s="38" t="s">
        <v>570</v>
      </c>
      <c r="C166" s="38" t="s">
        <v>407</v>
      </c>
      <c r="D166" s="38" t="s">
        <v>561</v>
      </c>
      <c r="E166" s="38">
        <v>14</v>
      </c>
      <c r="F166" s="38">
        <v>146</v>
      </c>
      <c r="G166" s="38"/>
    </row>
    <row r="167" spans="2:7" x14ac:dyDescent="0.3">
      <c r="B167" s="38" t="s">
        <v>571</v>
      </c>
      <c r="C167" s="38" t="s">
        <v>407</v>
      </c>
      <c r="D167" s="38" t="s">
        <v>561</v>
      </c>
      <c r="E167" s="38">
        <v>9</v>
      </c>
      <c r="F167" s="38">
        <v>111</v>
      </c>
      <c r="G167" s="38"/>
    </row>
    <row r="168" spans="2:7" x14ac:dyDescent="0.3">
      <c r="B168" s="38" t="s">
        <v>572</v>
      </c>
      <c r="C168" s="38" t="s">
        <v>407</v>
      </c>
      <c r="D168" s="38" t="s">
        <v>561</v>
      </c>
      <c r="E168" s="38">
        <v>0</v>
      </c>
      <c r="F168" s="38">
        <v>0</v>
      </c>
      <c r="G168" s="38"/>
    </row>
    <row r="169" spans="2:7" x14ac:dyDescent="0.3">
      <c r="B169" s="38" t="s">
        <v>573</v>
      </c>
      <c r="C169" s="38" t="s">
        <v>398</v>
      </c>
      <c r="D169" s="38" t="s">
        <v>574</v>
      </c>
      <c r="E169" s="38">
        <v>74</v>
      </c>
      <c r="F169" s="38">
        <v>1132</v>
      </c>
      <c r="G169" s="38"/>
    </row>
    <row r="170" spans="2:7" x14ac:dyDescent="0.3">
      <c r="B170" s="38" t="s">
        <v>575</v>
      </c>
      <c r="C170" s="38" t="s">
        <v>398</v>
      </c>
      <c r="D170" s="38" t="s">
        <v>574</v>
      </c>
      <c r="E170" s="38">
        <v>58</v>
      </c>
      <c r="F170" s="38">
        <v>794</v>
      </c>
      <c r="G170" s="38"/>
    </row>
    <row r="171" spans="2:7" x14ac:dyDescent="0.3">
      <c r="B171" s="38" t="s">
        <v>576</v>
      </c>
      <c r="C171" s="38" t="s">
        <v>398</v>
      </c>
      <c r="D171" s="38" t="s">
        <v>574</v>
      </c>
      <c r="E171" s="38">
        <v>48</v>
      </c>
      <c r="F171" s="38">
        <v>654</v>
      </c>
      <c r="G171" s="38"/>
    </row>
    <row r="172" spans="2:7" x14ac:dyDescent="0.3">
      <c r="B172" s="38" t="s">
        <v>577</v>
      </c>
      <c r="C172" s="38" t="s">
        <v>398</v>
      </c>
      <c r="D172" s="38" t="s">
        <v>574</v>
      </c>
      <c r="E172" s="38">
        <v>56</v>
      </c>
      <c r="F172" s="38">
        <v>713</v>
      </c>
      <c r="G172" s="38"/>
    </row>
    <row r="173" spans="2:7" x14ac:dyDescent="0.3">
      <c r="B173" s="38" t="s">
        <v>578</v>
      </c>
      <c r="C173" s="38" t="s">
        <v>398</v>
      </c>
      <c r="D173" s="38" t="s">
        <v>574</v>
      </c>
      <c r="E173" s="38">
        <v>18</v>
      </c>
      <c r="F173" s="38">
        <v>336</v>
      </c>
      <c r="G173" s="38"/>
    </row>
    <row r="174" spans="2:7" x14ac:dyDescent="0.3">
      <c r="B174" s="38" t="s">
        <v>579</v>
      </c>
      <c r="C174" s="38" t="s">
        <v>398</v>
      </c>
      <c r="D174" s="38" t="s">
        <v>574</v>
      </c>
      <c r="E174" s="38">
        <v>3</v>
      </c>
      <c r="F174" s="38">
        <v>30</v>
      </c>
      <c r="G174" s="38"/>
    </row>
    <row r="175" spans="2:7" x14ac:dyDescent="0.3">
      <c r="B175" s="38" t="s">
        <v>580</v>
      </c>
      <c r="C175" s="38" t="s">
        <v>398</v>
      </c>
      <c r="D175" s="38" t="s">
        <v>574</v>
      </c>
      <c r="E175" s="38">
        <v>2</v>
      </c>
      <c r="F175" s="38">
        <v>17</v>
      </c>
      <c r="G175" s="38"/>
    </row>
    <row r="176" spans="2:7" x14ac:dyDescent="0.3">
      <c r="B176" s="38" t="s">
        <v>581</v>
      </c>
      <c r="C176" s="38" t="s">
        <v>398</v>
      </c>
      <c r="D176" s="38" t="s">
        <v>574</v>
      </c>
      <c r="E176" s="38">
        <v>4</v>
      </c>
      <c r="F176" s="38">
        <v>18</v>
      </c>
      <c r="G176" s="38"/>
    </row>
    <row r="177" spans="2:7" x14ac:dyDescent="0.3">
      <c r="B177" s="38" t="s">
        <v>582</v>
      </c>
      <c r="C177" s="38" t="s">
        <v>407</v>
      </c>
      <c r="D177" s="38" t="s">
        <v>574</v>
      </c>
      <c r="E177" s="38">
        <v>35</v>
      </c>
      <c r="F177" s="38">
        <v>347</v>
      </c>
      <c r="G177" s="38"/>
    </row>
    <row r="178" spans="2:7" x14ac:dyDescent="0.3">
      <c r="B178" s="38" t="s">
        <v>583</v>
      </c>
      <c r="C178" s="38" t="s">
        <v>407</v>
      </c>
      <c r="D178" s="38" t="s">
        <v>574</v>
      </c>
      <c r="E178" s="38">
        <v>29</v>
      </c>
      <c r="F178" s="38">
        <v>287</v>
      </c>
      <c r="G178" s="38"/>
    </row>
    <row r="179" spans="2:7" x14ac:dyDescent="0.3">
      <c r="B179" s="38" t="s">
        <v>584</v>
      </c>
      <c r="C179" s="38" t="s">
        <v>407</v>
      </c>
      <c r="D179" s="38" t="s">
        <v>574</v>
      </c>
      <c r="E179" s="38">
        <v>9</v>
      </c>
      <c r="F179" s="38">
        <v>76</v>
      </c>
      <c r="G179" s="38"/>
    </row>
    <row r="180" spans="2:7" x14ac:dyDescent="0.3">
      <c r="B180" s="38" t="s">
        <v>585</v>
      </c>
      <c r="C180" s="38" t="s">
        <v>407</v>
      </c>
      <c r="D180" s="38" t="s">
        <v>574</v>
      </c>
      <c r="E180" s="38">
        <v>6</v>
      </c>
      <c r="F180" s="38">
        <v>57</v>
      </c>
      <c r="G180" s="38"/>
    </row>
    <row r="181" spans="2:7" x14ac:dyDescent="0.3">
      <c r="B181" s="38" t="s">
        <v>586</v>
      </c>
      <c r="C181" s="38" t="s">
        <v>407</v>
      </c>
      <c r="D181" s="38" t="s">
        <v>574</v>
      </c>
      <c r="E181" s="38">
        <v>0</v>
      </c>
      <c r="F181" s="38">
        <v>0</v>
      </c>
      <c r="G181" s="38"/>
    </row>
    <row r="182" spans="2:7" x14ac:dyDescent="0.3">
      <c r="B182" s="38" t="s">
        <v>587</v>
      </c>
      <c r="C182" s="38" t="s">
        <v>398</v>
      </c>
      <c r="D182" s="38" t="s">
        <v>588</v>
      </c>
      <c r="E182" s="38">
        <v>74</v>
      </c>
      <c r="F182" s="38">
        <v>1038</v>
      </c>
      <c r="G182" s="38"/>
    </row>
    <row r="183" spans="2:7" x14ac:dyDescent="0.3">
      <c r="B183" s="38" t="s">
        <v>589</v>
      </c>
      <c r="C183" s="38" t="s">
        <v>398</v>
      </c>
      <c r="D183" s="38" t="s">
        <v>588</v>
      </c>
      <c r="E183" s="38">
        <v>63</v>
      </c>
      <c r="F183" s="38">
        <v>805</v>
      </c>
      <c r="G183" s="38"/>
    </row>
    <row r="184" spans="2:7" x14ac:dyDescent="0.3">
      <c r="B184" s="38" t="s">
        <v>590</v>
      </c>
      <c r="C184" s="38" t="s">
        <v>398</v>
      </c>
      <c r="D184" s="38" t="s">
        <v>588</v>
      </c>
      <c r="E184" s="38">
        <v>42</v>
      </c>
      <c r="F184" s="38">
        <v>510</v>
      </c>
      <c r="G184" s="38"/>
    </row>
    <row r="185" spans="2:7" x14ac:dyDescent="0.3">
      <c r="B185" s="38" t="s">
        <v>591</v>
      </c>
      <c r="C185" s="38" t="s">
        <v>398</v>
      </c>
      <c r="D185" s="38" t="s">
        <v>588</v>
      </c>
      <c r="E185" s="38">
        <v>24</v>
      </c>
      <c r="F185" s="38">
        <v>348</v>
      </c>
      <c r="G185" s="38"/>
    </row>
    <row r="186" spans="2:7" x14ac:dyDescent="0.3">
      <c r="B186" s="38" t="s">
        <v>592</v>
      </c>
      <c r="C186" s="38" t="s">
        <v>398</v>
      </c>
      <c r="D186" s="38" t="s">
        <v>588</v>
      </c>
      <c r="E186" s="38">
        <v>12</v>
      </c>
      <c r="F186" s="38">
        <v>158</v>
      </c>
      <c r="G186" s="38"/>
    </row>
    <row r="187" spans="2:7" x14ac:dyDescent="0.3">
      <c r="B187" s="38" t="s">
        <v>593</v>
      </c>
      <c r="C187" s="38" t="s">
        <v>398</v>
      </c>
      <c r="D187" s="38" t="s">
        <v>588</v>
      </c>
      <c r="E187" s="38">
        <v>3</v>
      </c>
      <c r="F187" s="38">
        <v>38</v>
      </c>
      <c r="G187" s="38"/>
    </row>
    <row r="188" spans="2:7" x14ac:dyDescent="0.3">
      <c r="B188" s="38" t="s">
        <v>594</v>
      </c>
      <c r="C188" s="38" t="s">
        <v>398</v>
      </c>
      <c r="D188" s="38" t="s">
        <v>588</v>
      </c>
      <c r="E188" s="38">
        <v>1</v>
      </c>
      <c r="F188" s="38">
        <v>28</v>
      </c>
      <c r="G188" s="38"/>
    </row>
    <row r="189" spans="2:7" x14ac:dyDescent="0.3">
      <c r="B189" s="38" t="s">
        <v>595</v>
      </c>
      <c r="C189" s="38" t="s">
        <v>407</v>
      </c>
      <c r="D189" s="38" t="s">
        <v>588</v>
      </c>
      <c r="E189" s="38">
        <v>65</v>
      </c>
      <c r="F189" s="38">
        <v>682</v>
      </c>
      <c r="G189" s="38"/>
    </row>
    <row r="190" spans="2:7" x14ac:dyDescent="0.3">
      <c r="B190" s="38" t="s">
        <v>596</v>
      </c>
      <c r="C190" s="38" t="s">
        <v>407</v>
      </c>
      <c r="D190" s="38" t="s">
        <v>588</v>
      </c>
      <c r="E190" s="38">
        <v>12</v>
      </c>
      <c r="F190" s="38">
        <v>116</v>
      </c>
      <c r="G190" s="38"/>
    </row>
    <row r="191" spans="2:7" x14ac:dyDescent="0.3">
      <c r="B191" s="38" t="s">
        <v>597</v>
      </c>
      <c r="C191" s="38" t="s">
        <v>407</v>
      </c>
      <c r="D191" s="38" t="s">
        <v>588</v>
      </c>
      <c r="E191" s="38">
        <v>0</v>
      </c>
      <c r="F191" s="38">
        <v>0</v>
      </c>
      <c r="G191" s="38"/>
    </row>
    <row r="192" spans="2:7" x14ac:dyDescent="0.3">
      <c r="B192" s="38" t="s">
        <v>598</v>
      </c>
      <c r="C192" s="38" t="s">
        <v>407</v>
      </c>
      <c r="D192" s="38" t="s">
        <v>588</v>
      </c>
      <c r="E192" s="38">
        <v>0</v>
      </c>
      <c r="F192" s="38">
        <v>0</v>
      </c>
      <c r="G192" s="38"/>
    </row>
    <row r="193" spans="2:7" x14ac:dyDescent="0.3">
      <c r="B193" s="38" t="s">
        <v>599</v>
      </c>
      <c r="C193" s="38" t="s">
        <v>407</v>
      </c>
      <c r="D193" s="38" t="s">
        <v>588</v>
      </c>
      <c r="E193" s="38">
        <v>0</v>
      </c>
      <c r="F193" s="38">
        <v>0</v>
      </c>
      <c r="G193" s="38"/>
    </row>
    <row r="194" spans="2:7" x14ac:dyDescent="0.3">
      <c r="B194" s="38" t="s">
        <v>600</v>
      </c>
      <c r="C194" s="38" t="s">
        <v>398</v>
      </c>
      <c r="D194" s="38" t="s">
        <v>601</v>
      </c>
      <c r="E194" s="38">
        <v>59</v>
      </c>
      <c r="F194" s="38">
        <v>996</v>
      </c>
      <c r="G194" s="38"/>
    </row>
    <row r="195" spans="2:7" x14ac:dyDescent="0.3">
      <c r="B195" s="38" t="s">
        <v>602</v>
      </c>
      <c r="C195" s="38" t="s">
        <v>398</v>
      </c>
      <c r="D195" s="38" t="s">
        <v>601</v>
      </c>
      <c r="E195" s="38">
        <v>45</v>
      </c>
      <c r="F195" s="38">
        <v>685</v>
      </c>
      <c r="G195" s="38"/>
    </row>
    <row r="196" spans="2:7" x14ac:dyDescent="0.3">
      <c r="B196" s="38" t="s">
        <v>603</v>
      </c>
      <c r="C196" s="38" t="s">
        <v>398</v>
      </c>
      <c r="D196" s="38" t="s">
        <v>601</v>
      </c>
      <c r="E196" s="38">
        <v>22</v>
      </c>
      <c r="F196" s="38">
        <v>434</v>
      </c>
      <c r="G196" s="38"/>
    </row>
    <row r="197" spans="2:7" x14ac:dyDescent="0.3">
      <c r="B197" s="38" t="s">
        <v>604</v>
      </c>
      <c r="C197" s="38" t="s">
        <v>398</v>
      </c>
      <c r="D197" s="38" t="s">
        <v>601</v>
      </c>
      <c r="E197" s="38">
        <v>26</v>
      </c>
      <c r="F197" s="38">
        <v>376</v>
      </c>
      <c r="G197" s="38"/>
    </row>
    <row r="198" spans="2:7" x14ac:dyDescent="0.3">
      <c r="B198" s="38" t="s">
        <v>605</v>
      </c>
      <c r="C198" s="38" t="s">
        <v>398</v>
      </c>
      <c r="D198" s="38" t="s">
        <v>601</v>
      </c>
      <c r="E198" s="38">
        <v>24</v>
      </c>
      <c r="F198" s="38">
        <v>276</v>
      </c>
      <c r="G198" s="38"/>
    </row>
    <row r="199" spans="2:7" x14ac:dyDescent="0.3">
      <c r="B199" s="38" t="s">
        <v>606</v>
      </c>
      <c r="C199" s="38" t="s">
        <v>398</v>
      </c>
      <c r="D199" s="38" t="s">
        <v>601</v>
      </c>
      <c r="E199" s="38">
        <v>19</v>
      </c>
      <c r="F199" s="38">
        <v>241</v>
      </c>
      <c r="G199" s="38"/>
    </row>
    <row r="200" spans="2:7" x14ac:dyDescent="0.3">
      <c r="B200" s="38" t="s">
        <v>607</v>
      </c>
      <c r="C200" s="38" t="s">
        <v>398</v>
      </c>
      <c r="D200" s="38" t="s">
        <v>601</v>
      </c>
      <c r="E200" s="38">
        <v>18</v>
      </c>
      <c r="F200" s="38">
        <v>205</v>
      </c>
      <c r="G200" s="38"/>
    </row>
    <row r="201" spans="2:7" x14ac:dyDescent="0.3">
      <c r="B201" s="38" t="s">
        <v>608</v>
      </c>
      <c r="C201" s="38" t="s">
        <v>407</v>
      </c>
      <c r="D201" s="38" t="s">
        <v>601</v>
      </c>
      <c r="E201" s="38">
        <v>75</v>
      </c>
      <c r="F201" s="38">
        <v>933</v>
      </c>
      <c r="G201" s="38"/>
    </row>
    <row r="202" spans="2:7" x14ac:dyDescent="0.3">
      <c r="B202" s="38" t="s">
        <v>609</v>
      </c>
      <c r="C202" s="38" t="s">
        <v>407</v>
      </c>
      <c r="D202" s="38" t="s">
        <v>601</v>
      </c>
      <c r="E202" s="38">
        <v>21</v>
      </c>
      <c r="F202" s="38">
        <v>201</v>
      </c>
      <c r="G202" s="38"/>
    </row>
    <row r="203" spans="2:7" x14ac:dyDescent="0.3">
      <c r="B203" s="38" t="s">
        <v>610</v>
      </c>
      <c r="C203" s="38" t="s">
        <v>407</v>
      </c>
      <c r="D203" s="38" t="s">
        <v>601</v>
      </c>
      <c r="E203" s="38">
        <v>16</v>
      </c>
      <c r="F203" s="38">
        <v>114</v>
      </c>
      <c r="G203" s="38"/>
    </row>
    <row r="204" spans="2:7" x14ac:dyDescent="0.3">
      <c r="B204" s="38" t="s">
        <v>611</v>
      </c>
      <c r="C204" s="38" t="s">
        <v>407</v>
      </c>
      <c r="D204" s="38" t="s">
        <v>601</v>
      </c>
      <c r="E204" s="38">
        <v>0</v>
      </c>
      <c r="F204" s="38">
        <v>0</v>
      </c>
      <c r="G204" s="38"/>
    </row>
    <row r="205" spans="2:7" x14ac:dyDescent="0.3">
      <c r="B205" s="38" t="s">
        <v>612</v>
      </c>
      <c r="C205" s="38" t="s">
        <v>407</v>
      </c>
      <c r="D205" s="38" t="s">
        <v>601</v>
      </c>
      <c r="E205" s="38">
        <v>0</v>
      </c>
      <c r="F205" s="38">
        <v>0</v>
      </c>
      <c r="G205" s="38"/>
    </row>
    <row r="206" spans="2:7" x14ac:dyDescent="0.3">
      <c r="B206" s="38" t="s">
        <v>613</v>
      </c>
      <c r="C206" s="38" t="s">
        <v>398</v>
      </c>
      <c r="D206" s="38" t="s">
        <v>614</v>
      </c>
      <c r="E206" s="38">
        <v>79</v>
      </c>
      <c r="F206" s="38">
        <v>1151</v>
      </c>
      <c r="G206" s="38"/>
    </row>
    <row r="207" spans="2:7" x14ac:dyDescent="0.3">
      <c r="B207" s="38" t="s">
        <v>615</v>
      </c>
      <c r="C207" s="38" t="s">
        <v>398</v>
      </c>
      <c r="D207" s="38" t="s">
        <v>614</v>
      </c>
      <c r="E207" s="38">
        <v>58</v>
      </c>
      <c r="F207" s="38">
        <v>737</v>
      </c>
      <c r="G207" s="38"/>
    </row>
    <row r="208" spans="2:7" x14ac:dyDescent="0.3">
      <c r="B208" s="38" t="s">
        <v>616</v>
      </c>
      <c r="C208" s="38" t="s">
        <v>398</v>
      </c>
      <c r="D208" s="38" t="s">
        <v>614</v>
      </c>
      <c r="E208" s="38">
        <v>33</v>
      </c>
      <c r="F208" s="38">
        <v>349</v>
      </c>
      <c r="G208" s="38"/>
    </row>
    <row r="209" spans="2:7" x14ac:dyDescent="0.3">
      <c r="B209" s="38" t="s">
        <v>617</v>
      </c>
      <c r="C209" s="38" t="s">
        <v>398</v>
      </c>
      <c r="D209" s="38" t="s">
        <v>614</v>
      </c>
      <c r="E209" s="38">
        <v>27</v>
      </c>
      <c r="F209" s="38">
        <v>379</v>
      </c>
      <c r="G209" s="38"/>
    </row>
    <row r="210" spans="2:7" x14ac:dyDescent="0.3">
      <c r="B210" s="38" t="s">
        <v>618</v>
      </c>
      <c r="C210" s="38" t="s">
        <v>398</v>
      </c>
      <c r="D210" s="38" t="s">
        <v>614</v>
      </c>
      <c r="E210" s="38">
        <v>32</v>
      </c>
      <c r="F210" s="38">
        <v>372</v>
      </c>
      <c r="G210" s="38"/>
    </row>
    <row r="211" spans="2:7" x14ac:dyDescent="0.3">
      <c r="B211" s="38" t="s">
        <v>619</v>
      </c>
      <c r="C211" s="38" t="s">
        <v>398</v>
      </c>
      <c r="D211" s="38" t="s">
        <v>614</v>
      </c>
      <c r="E211" s="38">
        <v>16</v>
      </c>
      <c r="F211" s="38">
        <v>149</v>
      </c>
      <c r="G211" s="38"/>
    </row>
    <row r="212" spans="2:7" x14ac:dyDescent="0.3">
      <c r="B212" s="38" t="s">
        <v>620</v>
      </c>
      <c r="C212" s="38" t="s">
        <v>398</v>
      </c>
      <c r="D212" s="38" t="s">
        <v>614</v>
      </c>
      <c r="E212" s="38">
        <v>2</v>
      </c>
      <c r="F212" s="38">
        <v>18</v>
      </c>
      <c r="G212" s="38"/>
    </row>
    <row r="213" spans="2:7" x14ac:dyDescent="0.3">
      <c r="B213" s="38" t="s">
        <v>621</v>
      </c>
      <c r="C213" s="38" t="s">
        <v>407</v>
      </c>
      <c r="D213" s="38" t="s">
        <v>614</v>
      </c>
      <c r="E213" s="38">
        <v>18</v>
      </c>
      <c r="F213" s="38">
        <v>165</v>
      </c>
      <c r="G213" s="38"/>
    </row>
    <row r="214" spans="2:7" x14ac:dyDescent="0.3">
      <c r="B214" s="38" t="s">
        <v>622</v>
      </c>
      <c r="C214" s="38" t="s">
        <v>407</v>
      </c>
      <c r="D214" s="38" t="s">
        <v>614</v>
      </c>
      <c r="E214" s="38">
        <v>20</v>
      </c>
      <c r="F214" s="38">
        <v>197</v>
      </c>
      <c r="G214" s="38"/>
    </row>
    <row r="215" spans="2:7" x14ac:dyDescent="0.3">
      <c r="B215" s="38" t="s">
        <v>623</v>
      </c>
      <c r="C215" s="38" t="s">
        <v>407</v>
      </c>
      <c r="D215" s="38" t="s">
        <v>614</v>
      </c>
      <c r="E215" s="38">
        <v>15</v>
      </c>
      <c r="F215" s="38">
        <v>160</v>
      </c>
      <c r="G215" s="38"/>
    </row>
    <row r="216" spans="2:7" x14ac:dyDescent="0.3">
      <c r="B216" s="38" t="s">
        <v>624</v>
      </c>
      <c r="C216" s="38" t="s">
        <v>407</v>
      </c>
      <c r="D216" s="38" t="s">
        <v>614</v>
      </c>
      <c r="E216" s="38">
        <v>6</v>
      </c>
      <c r="F216" s="38">
        <v>87</v>
      </c>
      <c r="G216" s="38"/>
    </row>
    <row r="217" spans="2:7" x14ac:dyDescent="0.3">
      <c r="B217" s="38" t="s">
        <v>625</v>
      </c>
      <c r="C217" s="38" t="s">
        <v>407</v>
      </c>
      <c r="D217" s="38" t="s">
        <v>614</v>
      </c>
      <c r="E217" s="38">
        <v>0</v>
      </c>
      <c r="F217" s="38">
        <v>0</v>
      </c>
      <c r="G217" s="38"/>
    </row>
    <row r="218" spans="2:7" x14ac:dyDescent="0.3">
      <c r="B218" s="38" t="s">
        <v>626</v>
      </c>
      <c r="C218" s="38" t="s">
        <v>398</v>
      </c>
      <c r="D218" s="38" t="s">
        <v>627</v>
      </c>
      <c r="E218" s="38">
        <v>92</v>
      </c>
      <c r="F218" s="38">
        <v>1194</v>
      </c>
      <c r="G218" s="38"/>
    </row>
    <row r="219" spans="2:7" x14ac:dyDescent="0.3">
      <c r="B219" s="38" t="s">
        <v>628</v>
      </c>
      <c r="C219" s="38" t="s">
        <v>398</v>
      </c>
      <c r="D219" s="38" t="s">
        <v>627</v>
      </c>
      <c r="E219" s="38">
        <v>75</v>
      </c>
      <c r="F219" s="38">
        <v>1159</v>
      </c>
      <c r="G219" s="38"/>
    </row>
    <row r="220" spans="2:7" x14ac:dyDescent="0.3">
      <c r="B220" s="38" t="s">
        <v>629</v>
      </c>
      <c r="C220" s="38" t="s">
        <v>398</v>
      </c>
      <c r="D220" s="38" t="s">
        <v>627</v>
      </c>
      <c r="E220" s="38">
        <v>63</v>
      </c>
      <c r="F220" s="38">
        <v>986</v>
      </c>
      <c r="G220" s="38"/>
    </row>
    <row r="221" spans="2:7" x14ac:dyDescent="0.3">
      <c r="B221" s="38" t="s">
        <v>630</v>
      </c>
      <c r="C221" s="38" t="s">
        <v>398</v>
      </c>
      <c r="D221" s="38" t="s">
        <v>627</v>
      </c>
      <c r="E221" s="38">
        <v>11</v>
      </c>
      <c r="F221" s="38">
        <v>134</v>
      </c>
      <c r="G221" s="38"/>
    </row>
    <row r="222" spans="2:7" x14ac:dyDescent="0.3">
      <c r="B222" s="38" t="s">
        <v>631</v>
      </c>
      <c r="C222" s="38" t="s">
        <v>398</v>
      </c>
      <c r="D222" s="38" t="s">
        <v>627</v>
      </c>
      <c r="E222" s="38">
        <v>5</v>
      </c>
      <c r="F222" s="38">
        <v>62</v>
      </c>
      <c r="G222" s="38"/>
    </row>
    <row r="223" spans="2:7" x14ac:dyDescent="0.3">
      <c r="B223" s="38" t="s">
        <v>632</v>
      </c>
      <c r="C223" s="38" t="s">
        <v>398</v>
      </c>
      <c r="D223" s="38" t="s">
        <v>627</v>
      </c>
      <c r="E223" s="38">
        <v>3</v>
      </c>
      <c r="F223" s="38">
        <v>10</v>
      </c>
      <c r="G223" s="38"/>
    </row>
    <row r="224" spans="2:7" x14ac:dyDescent="0.3">
      <c r="B224" s="38" t="s">
        <v>633</v>
      </c>
      <c r="C224" s="38" t="s">
        <v>407</v>
      </c>
      <c r="D224" s="38" t="s">
        <v>627</v>
      </c>
      <c r="E224" s="38">
        <v>41</v>
      </c>
      <c r="F224" s="38">
        <v>535</v>
      </c>
      <c r="G224" s="38"/>
    </row>
    <row r="225" spans="2:7" x14ac:dyDescent="0.3">
      <c r="B225" s="38" t="s">
        <v>634</v>
      </c>
      <c r="C225" s="38" t="s">
        <v>407</v>
      </c>
      <c r="D225" s="38" t="s">
        <v>627</v>
      </c>
      <c r="E225" s="38">
        <v>4</v>
      </c>
      <c r="F225" s="38">
        <v>33</v>
      </c>
      <c r="G225" s="38"/>
    </row>
    <row r="226" spans="2:7" x14ac:dyDescent="0.3">
      <c r="B226" s="38" t="s">
        <v>635</v>
      </c>
      <c r="C226" s="38" t="s">
        <v>407</v>
      </c>
      <c r="D226" s="38" t="s">
        <v>627</v>
      </c>
      <c r="E226" s="38">
        <v>0</v>
      </c>
      <c r="F226" s="38">
        <v>0</v>
      </c>
      <c r="G226" s="38"/>
    </row>
    <row r="227" spans="2:7" x14ac:dyDescent="0.3">
      <c r="B227" s="38" t="s">
        <v>636</v>
      </c>
      <c r="C227" s="38" t="s">
        <v>407</v>
      </c>
      <c r="D227" s="38" t="s">
        <v>627</v>
      </c>
      <c r="E227" s="38">
        <v>0</v>
      </c>
      <c r="F227" s="38">
        <v>0</v>
      </c>
      <c r="G227" s="38"/>
    </row>
    <row r="228" spans="2:7" x14ac:dyDescent="0.3">
      <c r="B228" s="38" t="s">
        <v>637</v>
      </c>
      <c r="C228" s="38" t="s">
        <v>407</v>
      </c>
      <c r="D228" s="38" t="s">
        <v>627</v>
      </c>
      <c r="E228" s="38">
        <v>0</v>
      </c>
      <c r="F228" s="38">
        <v>0</v>
      </c>
      <c r="G228" s="38"/>
    </row>
    <row r="229" spans="2:7" x14ac:dyDescent="0.3">
      <c r="B229" s="38" t="s">
        <v>638</v>
      </c>
      <c r="C229" s="38" t="s">
        <v>398</v>
      </c>
      <c r="D229" s="38" t="s">
        <v>639</v>
      </c>
      <c r="E229" s="38">
        <v>90</v>
      </c>
      <c r="F229" s="38">
        <v>1324</v>
      </c>
      <c r="G229" s="38"/>
    </row>
    <row r="230" spans="2:7" x14ac:dyDescent="0.3">
      <c r="B230" s="38" t="s">
        <v>640</v>
      </c>
      <c r="C230" s="38" t="s">
        <v>398</v>
      </c>
      <c r="D230" s="38" t="s">
        <v>639</v>
      </c>
      <c r="E230" s="38">
        <v>53</v>
      </c>
      <c r="F230" s="38">
        <v>683</v>
      </c>
      <c r="G230" s="38"/>
    </row>
    <row r="231" spans="2:7" x14ac:dyDescent="0.3">
      <c r="B231" s="38" t="s">
        <v>641</v>
      </c>
      <c r="C231" s="38" t="s">
        <v>398</v>
      </c>
      <c r="D231" s="38" t="s">
        <v>639</v>
      </c>
      <c r="E231" s="38">
        <v>29</v>
      </c>
      <c r="F231" s="38">
        <v>467</v>
      </c>
      <c r="G231" s="38"/>
    </row>
    <row r="232" spans="2:7" x14ac:dyDescent="0.3">
      <c r="B232" s="38" t="s">
        <v>642</v>
      </c>
      <c r="C232" s="38" t="s">
        <v>398</v>
      </c>
      <c r="D232" s="38" t="s">
        <v>639</v>
      </c>
      <c r="E232" s="38">
        <v>28</v>
      </c>
      <c r="F232" s="38">
        <v>394</v>
      </c>
      <c r="G232" s="38"/>
    </row>
    <row r="233" spans="2:7" x14ac:dyDescent="0.3">
      <c r="B233" s="38" t="s">
        <v>643</v>
      </c>
      <c r="C233" s="38" t="s">
        <v>398</v>
      </c>
      <c r="D233" s="38" t="s">
        <v>639</v>
      </c>
      <c r="E233" s="38">
        <v>29</v>
      </c>
      <c r="F233" s="38">
        <v>392</v>
      </c>
      <c r="G233" s="38"/>
    </row>
    <row r="234" spans="2:7" x14ac:dyDescent="0.3">
      <c r="B234" s="38" t="s">
        <v>644</v>
      </c>
      <c r="C234" s="38" t="s">
        <v>398</v>
      </c>
      <c r="D234" s="38" t="s">
        <v>639</v>
      </c>
      <c r="E234" s="38">
        <v>10</v>
      </c>
      <c r="F234" s="38">
        <v>112</v>
      </c>
      <c r="G234" s="38"/>
    </row>
    <row r="235" spans="2:7" x14ac:dyDescent="0.3">
      <c r="B235" s="38" t="s">
        <v>645</v>
      </c>
      <c r="C235" s="38" t="s">
        <v>407</v>
      </c>
      <c r="D235" s="38" t="s">
        <v>639</v>
      </c>
      <c r="E235" s="38">
        <v>22</v>
      </c>
      <c r="F235" s="38">
        <v>229</v>
      </c>
      <c r="G235" s="38"/>
    </row>
    <row r="236" spans="2:7" x14ac:dyDescent="0.3">
      <c r="B236" s="38" t="s">
        <v>646</v>
      </c>
      <c r="C236" s="38" t="s">
        <v>407</v>
      </c>
      <c r="D236" s="38" t="s">
        <v>639</v>
      </c>
      <c r="E236" s="38">
        <v>9</v>
      </c>
      <c r="F236" s="38">
        <v>79</v>
      </c>
      <c r="G236" s="38"/>
    </row>
    <row r="237" spans="2:7" x14ac:dyDescent="0.3">
      <c r="B237" s="38" t="s">
        <v>647</v>
      </c>
      <c r="C237" s="38" t="s">
        <v>407</v>
      </c>
      <c r="D237" s="38" t="s">
        <v>639</v>
      </c>
      <c r="E237" s="38">
        <v>5</v>
      </c>
      <c r="F237" s="38">
        <v>37</v>
      </c>
      <c r="G237" s="38"/>
    </row>
    <row r="238" spans="2:7" x14ac:dyDescent="0.3">
      <c r="B238" s="38" t="s">
        <v>648</v>
      </c>
      <c r="C238" s="38" t="s">
        <v>407</v>
      </c>
      <c r="D238" s="38" t="s">
        <v>639</v>
      </c>
      <c r="E238" s="38">
        <v>0</v>
      </c>
      <c r="F238" s="38">
        <v>0</v>
      </c>
      <c r="G238" s="38"/>
    </row>
    <row r="239" spans="2:7" x14ac:dyDescent="0.3">
      <c r="B239" s="38" t="s">
        <v>649</v>
      </c>
      <c r="C239" s="38" t="s">
        <v>407</v>
      </c>
      <c r="D239" s="38" t="s">
        <v>639</v>
      </c>
      <c r="E239" s="38">
        <v>0</v>
      </c>
      <c r="F239" s="38">
        <v>0</v>
      </c>
      <c r="G239" s="38"/>
    </row>
    <row r="240" spans="2:7" x14ac:dyDescent="0.3">
      <c r="B240" s="38" t="s">
        <v>650</v>
      </c>
      <c r="C240" s="38" t="s">
        <v>398</v>
      </c>
      <c r="D240" s="38" t="s">
        <v>651</v>
      </c>
      <c r="E240" s="38">
        <v>84</v>
      </c>
      <c r="F240" s="38">
        <v>1330</v>
      </c>
      <c r="G240" s="38"/>
    </row>
    <row r="241" spans="2:7" x14ac:dyDescent="0.3">
      <c r="B241" s="38" t="s">
        <v>652</v>
      </c>
      <c r="C241" s="38" t="s">
        <v>398</v>
      </c>
      <c r="D241" s="38" t="s">
        <v>651</v>
      </c>
      <c r="E241" s="38">
        <v>76</v>
      </c>
      <c r="F241" s="38">
        <v>1060</v>
      </c>
      <c r="G241" s="38"/>
    </row>
    <row r="242" spans="2:7" x14ac:dyDescent="0.3">
      <c r="B242" s="38" t="s">
        <v>653</v>
      </c>
      <c r="C242" s="38" t="s">
        <v>398</v>
      </c>
      <c r="D242" s="38" t="s">
        <v>651</v>
      </c>
      <c r="E242" s="38">
        <v>29</v>
      </c>
      <c r="F242" s="38">
        <v>413</v>
      </c>
      <c r="G242" s="38"/>
    </row>
    <row r="243" spans="2:7" x14ac:dyDescent="0.3">
      <c r="B243" s="38" t="s">
        <v>654</v>
      </c>
      <c r="C243" s="38" t="s">
        <v>398</v>
      </c>
      <c r="D243" s="38" t="s">
        <v>651</v>
      </c>
      <c r="E243" s="38">
        <v>19</v>
      </c>
      <c r="F243" s="38">
        <v>215</v>
      </c>
      <c r="G243" s="38"/>
    </row>
    <row r="244" spans="2:7" x14ac:dyDescent="0.3">
      <c r="B244" s="38" t="s">
        <v>655</v>
      </c>
      <c r="C244" s="38" t="s">
        <v>398</v>
      </c>
      <c r="D244" s="38" t="s">
        <v>651</v>
      </c>
      <c r="E244" s="38">
        <v>16</v>
      </c>
      <c r="F244" s="38">
        <v>171</v>
      </c>
      <c r="G244" s="38"/>
    </row>
    <row r="245" spans="2:7" x14ac:dyDescent="0.3">
      <c r="B245" s="38" t="s">
        <v>656</v>
      </c>
      <c r="C245" s="38" t="s">
        <v>398</v>
      </c>
      <c r="D245" s="38" t="s">
        <v>651</v>
      </c>
      <c r="E245" s="38">
        <v>7</v>
      </c>
      <c r="F245" s="38">
        <v>101</v>
      </c>
      <c r="G245" s="38"/>
    </row>
    <row r="246" spans="2:7" x14ac:dyDescent="0.3">
      <c r="B246" s="38" t="s">
        <v>657</v>
      </c>
      <c r="C246" s="38" t="s">
        <v>398</v>
      </c>
      <c r="D246" s="38" t="s">
        <v>651</v>
      </c>
      <c r="E246" s="38">
        <v>11</v>
      </c>
      <c r="F246" s="38">
        <v>84</v>
      </c>
      <c r="G246" s="38"/>
    </row>
    <row r="247" spans="2:7" x14ac:dyDescent="0.3">
      <c r="B247" s="38" t="s">
        <v>658</v>
      </c>
      <c r="C247" s="38" t="s">
        <v>407</v>
      </c>
      <c r="D247" s="38" t="s">
        <v>651</v>
      </c>
      <c r="E247" s="38">
        <v>37</v>
      </c>
      <c r="F247" s="38">
        <v>331</v>
      </c>
      <c r="G247" s="38"/>
    </row>
    <row r="248" spans="2:7" x14ac:dyDescent="0.3">
      <c r="B248" s="38" t="s">
        <v>659</v>
      </c>
      <c r="C248" s="38" t="s">
        <v>407</v>
      </c>
      <c r="D248" s="38" t="s">
        <v>651</v>
      </c>
      <c r="E248" s="38">
        <v>14</v>
      </c>
      <c r="F248" s="38">
        <v>104</v>
      </c>
      <c r="G248" s="38"/>
    </row>
    <row r="249" spans="2:7" x14ac:dyDescent="0.3">
      <c r="B249" s="38" t="s">
        <v>660</v>
      </c>
      <c r="C249" s="38" t="s">
        <v>407</v>
      </c>
      <c r="D249" s="38" t="s">
        <v>651</v>
      </c>
      <c r="E249" s="38">
        <v>5</v>
      </c>
      <c r="F249" s="38">
        <v>48</v>
      </c>
      <c r="G249" s="38"/>
    </row>
    <row r="250" spans="2:7" x14ac:dyDescent="0.3">
      <c r="B250" s="38" t="s">
        <v>661</v>
      </c>
      <c r="C250" s="38" t="s">
        <v>407</v>
      </c>
      <c r="D250" s="38" t="s">
        <v>651</v>
      </c>
      <c r="E250" s="38">
        <v>0</v>
      </c>
      <c r="F250" s="38">
        <v>0</v>
      </c>
      <c r="G250" s="38"/>
    </row>
    <row r="251" spans="2:7" x14ac:dyDescent="0.3">
      <c r="B251" s="38" t="s">
        <v>662</v>
      </c>
      <c r="C251" s="38" t="s">
        <v>407</v>
      </c>
      <c r="D251" s="38" t="s">
        <v>651</v>
      </c>
      <c r="E251" s="38">
        <v>0</v>
      </c>
      <c r="F251" s="38">
        <v>0</v>
      </c>
      <c r="G251" s="38"/>
    </row>
    <row r="252" spans="2:7" x14ac:dyDescent="0.3">
      <c r="B252" s="38" t="s">
        <v>663</v>
      </c>
      <c r="C252" s="38" t="s">
        <v>398</v>
      </c>
      <c r="D252" s="38" t="s">
        <v>664</v>
      </c>
      <c r="E252" s="38">
        <v>78</v>
      </c>
      <c r="F252" s="38">
        <v>1185</v>
      </c>
      <c r="G252" s="38"/>
    </row>
    <row r="253" spans="2:7" x14ac:dyDescent="0.3">
      <c r="B253" s="38" t="s">
        <v>665</v>
      </c>
      <c r="C253" s="38" t="s">
        <v>398</v>
      </c>
      <c r="D253" s="38" t="s">
        <v>664</v>
      </c>
      <c r="E253" s="38">
        <v>69</v>
      </c>
      <c r="F253" s="38">
        <v>762</v>
      </c>
      <c r="G253" s="38"/>
    </row>
    <row r="254" spans="2:7" x14ac:dyDescent="0.3">
      <c r="B254" s="38" t="s">
        <v>666</v>
      </c>
      <c r="C254" s="38" t="s">
        <v>398</v>
      </c>
      <c r="D254" s="38" t="s">
        <v>664</v>
      </c>
      <c r="E254" s="38">
        <v>61</v>
      </c>
      <c r="F254" s="38">
        <v>789</v>
      </c>
      <c r="G254" s="38"/>
    </row>
    <row r="255" spans="2:7" x14ac:dyDescent="0.3">
      <c r="B255" s="38" t="s">
        <v>667</v>
      </c>
      <c r="C255" s="38" t="s">
        <v>398</v>
      </c>
      <c r="D255" s="38" t="s">
        <v>664</v>
      </c>
      <c r="E255" s="38">
        <v>32</v>
      </c>
      <c r="F255" s="38">
        <v>349</v>
      </c>
      <c r="G255" s="38"/>
    </row>
    <row r="256" spans="2:7" x14ac:dyDescent="0.3">
      <c r="B256" s="38" t="s">
        <v>668</v>
      </c>
      <c r="C256" s="38" t="s">
        <v>398</v>
      </c>
      <c r="D256" s="38" t="s">
        <v>664</v>
      </c>
      <c r="E256" s="38">
        <v>37</v>
      </c>
      <c r="F256" s="38">
        <v>399</v>
      </c>
      <c r="G256" s="38"/>
    </row>
    <row r="257" spans="2:7" x14ac:dyDescent="0.3">
      <c r="B257" s="38" t="s">
        <v>669</v>
      </c>
      <c r="C257" s="38" t="s">
        <v>398</v>
      </c>
      <c r="D257" s="38" t="s">
        <v>664</v>
      </c>
      <c r="E257" s="38">
        <v>3</v>
      </c>
      <c r="F257" s="38">
        <v>59</v>
      </c>
      <c r="G257" s="38"/>
    </row>
    <row r="258" spans="2:7" x14ac:dyDescent="0.3">
      <c r="B258" s="38" t="s">
        <v>670</v>
      </c>
      <c r="C258" s="38" t="s">
        <v>398</v>
      </c>
      <c r="D258" s="38" t="s">
        <v>664</v>
      </c>
      <c r="E258" s="38">
        <v>3</v>
      </c>
      <c r="F258" s="38">
        <v>54</v>
      </c>
      <c r="G258" s="38"/>
    </row>
    <row r="259" spans="2:7" x14ac:dyDescent="0.3">
      <c r="B259" s="38" t="s">
        <v>671</v>
      </c>
      <c r="C259" s="38" t="s">
        <v>398</v>
      </c>
      <c r="D259" s="38" t="s">
        <v>664</v>
      </c>
      <c r="E259" s="38">
        <v>0</v>
      </c>
      <c r="F259" s="38">
        <v>0</v>
      </c>
      <c r="G259" s="38"/>
    </row>
    <row r="260" spans="2:7" x14ac:dyDescent="0.3">
      <c r="B260" s="38" t="s">
        <v>672</v>
      </c>
      <c r="C260" s="38" t="s">
        <v>407</v>
      </c>
      <c r="D260" s="38" t="s">
        <v>664</v>
      </c>
      <c r="E260" s="38">
        <v>35</v>
      </c>
      <c r="F260" s="38">
        <v>401</v>
      </c>
      <c r="G260" s="38"/>
    </row>
    <row r="261" spans="2:7" x14ac:dyDescent="0.3">
      <c r="B261" s="38" t="s">
        <v>673</v>
      </c>
      <c r="C261" s="38" t="s">
        <v>407</v>
      </c>
      <c r="D261" s="38" t="s">
        <v>664</v>
      </c>
      <c r="E261" s="38">
        <v>14</v>
      </c>
      <c r="F261" s="38">
        <v>119</v>
      </c>
      <c r="G261" s="38"/>
    </row>
    <row r="262" spans="2:7" x14ac:dyDescent="0.3">
      <c r="B262" s="38" t="s">
        <v>674</v>
      </c>
      <c r="C262" s="38" t="s">
        <v>407</v>
      </c>
      <c r="D262" s="38" t="s">
        <v>664</v>
      </c>
      <c r="E262" s="38">
        <v>2</v>
      </c>
      <c r="F262" s="38">
        <v>17</v>
      </c>
      <c r="G262" s="38"/>
    </row>
    <row r="263" spans="2:7" x14ac:dyDescent="0.3">
      <c r="B263" s="38" t="s">
        <v>675</v>
      </c>
      <c r="C263" s="38" t="s">
        <v>407</v>
      </c>
      <c r="D263" s="38" t="s">
        <v>664</v>
      </c>
      <c r="E263" s="38">
        <v>0</v>
      </c>
      <c r="F263" s="38">
        <v>0</v>
      </c>
      <c r="G263" s="38"/>
    </row>
    <row r="264" spans="2:7" x14ac:dyDescent="0.3">
      <c r="B264" s="38" t="s">
        <v>676</v>
      </c>
      <c r="C264" s="38" t="s">
        <v>407</v>
      </c>
      <c r="D264" s="38" t="s">
        <v>664</v>
      </c>
      <c r="E264" s="38">
        <v>0</v>
      </c>
      <c r="F264" s="38">
        <v>4</v>
      </c>
      <c r="G264" s="38"/>
    </row>
    <row r="265" spans="2:7" x14ac:dyDescent="0.3">
      <c r="B265" s="38" t="s">
        <v>677</v>
      </c>
      <c r="C265" s="38" t="s">
        <v>398</v>
      </c>
      <c r="D265" s="38" t="s">
        <v>678</v>
      </c>
      <c r="E265" s="38">
        <v>65</v>
      </c>
      <c r="F265" s="38">
        <v>1056</v>
      </c>
      <c r="G265" s="38"/>
    </row>
    <row r="266" spans="2:7" x14ac:dyDescent="0.3">
      <c r="B266" s="38" t="s">
        <v>679</v>
      </c>
      <c r="C266" s="38" t="s">
        <v>398</v>
      </c>
      <c r="D266" s="38" t="s">
        <v>678</v>
      </c>
      <c r="E266" s="38">
        <v>78</v>
      </c>
      <c r="F266" s="38">
        <v>1055</v>
      </c>
      <c r="G266" s="38"/>
    </row>
    <row r="267" spans="2:7" x14ac:dyDescent="0.3">
      <c r="B267" s="38" t="s">
        <v>680</v>
      </c>
      <c r="C267" s="38" t="s">
        <v>398</v>
      </c>
      <c r="D267" s="38" t="s">
        <v>678</v>
      </c>
      <c r="E267" s="38">
        <v>48</v>
      </c>
      <c r="F267" s="38">
        <v>597</v>
      </c>
      <c r="G267" s="38"/>
    </row>
    <row r="268" spans="2:7" x14ac:dyDescent="0.3">
      <c r="B268" s="38" t="s">
        <v>681</v>
      </c>
      <c r="C268" s="38" t="s">
        <v>398</v>
      </c>
      <c r="D268" s="38" t="s">
        <v>678</v>
      </c>
      <c r="E268" s="38">
        <v>40</v>
      </c>
      <c r="F268" s="38">
        <v>543</v>
      </c>
      <c r="G268" s="38"/>
    </row>
    <row r="269" spans="2:7" x14ac:dyDescent="0.3">
      <c r="B269" s="38" t="s">
        <v>682</v>
      </c>
      <c r="C269" s="38" t="s">
        <v>398</v>
      </c>
      <c r="D269" s="38" t="s">
        <v>678</v>
      </c>
      <c r="E269" s="38">
        <v>8</v>
      </c>
      <c r="F269" s="38">
        <v>72</v>
      </c>
      <c r="G269" s="38"/>
    </row>
    <row r="270" spans="2:7" x14ac:dyDescent="0.3">
      <c r="B270" s="38" t="s">
        <v>683</v>
      </c>
      <c r="C270" s="38" t="s">
        <v>398</v>
      </c>
      <c r="D270" s="38" t="s">
        <v>678</v>
      </c>
      <c r="E270" s="38">
        <v>8</v>
      </c>
      <c r="F270" s="38">
        <v>73</v>
      </c>
      <c r="G270" s="38"/>
    </row>
    <row r="271" spans="2:7" x14ac:dyDescent="0.3">
      <c r="B271" s="38" t="s">
        <v>684</v>
      </c>
      <c r="C271" s="38" t="s">
        <v>407</v>
      </c>
      <c r="D271" s="38" t="s">
        <v>678</v>
      </c>
      <c r="E271" s="38">
        <v>38</v>
      </c>
      <c r="F271" s="38">
        <v>425</v>
      </c>
      <c r="G271" s="38"/>
    </row>
    <row r="272" spans="2:7" x14ac:dyDescent="0.3">
      <c r="B272" s="38" t="s">
        <v>685</v>
      </c>
      <c r="C272" s="38" t="s">
        <v>407</v>
      </c>
      <c r="D272" s="38" t="s">
        <v>678</v>
      </c>
      <c r="E272" s="38">
        <v>38</v>
      </c>
      <c r="F272" s="38">
        <v>385</v>
      </c>
      <c r="G272" s="38"/>
    </row>
    <row r="273" spans="2:7" x14ac:dyDescent="0.3">
      <c r="B273" s="38" t="s">
        <v>686</v>
      </c>
      <c r="C273" s="38" t="s">
        <v>407</v>
      </c>
      <c r="D273" s="38" t="s">
        <v>678</v>
      </c>
      <c r="E273" s="38">
        <v>8</v>
      </c>
      <c r="F273" s="38">
        <v>38</v>
      </c>
      <c r="G273" s="38"/>
    </row>
    <row r="274" spans="2:7" x14ac:dyDescent="0.3">
      <c r="B274" s="38" t="s">
        <v>687</v>
      </c>
      <c r="C274" s="38" t="s">
        <v>407</v>
      </c>
      <c r="D274" s="38" t="s">
        <v>678</v>
      </c>
      <c r="E274" s="38">
        <v>5</v>
      </c>
      <c r="F274" s="38">
        <v>21</v>
      </c>
      <c r="G274" s="38"/>
    </row>
    <row r="275" spans="2:7" x14ac:dyDescent="0.3">
      <c r="B275" s="38" t="s">
        <v>688</v>
      </c>
      <c r="C275" s="38" t="s">
        <v>407</v>
      </c>
      <c r="D275" s="38" t="s">
        <v>678</v>
      </c>
      <c r="E275" s="38">
        <v>0</v>
      </c>
      <c r="F275" s="38">
        <v>0</v>
      </c>
      <c r="G275" s="38"/>
    </row>
    <row r="276" spans="2:7" x14ac:dyDescent="0.3">
      <c r="B276" s="38" t="s">
        <v>689</v>
      </c>
      <c r="C276" s="38" t="s">
        <v>398</v>
      </c>
      <c r="D276" s="38" t="s">
        <v>690</v>
      </c>
      <c r="E276" s="38">
        <v>73</v>
      </c>
      <c r="F276" s="38">
        <v>967</v>
      </c>
      <c r="G276" s="38"/>
    </row>
    <row r="277" spans="2:7" x14ac:dyDescent="0.3">
      <c r="B277" s="38" t="s">
        <v>691</v>
      </c>
      <c r="C277" s="38" t="s">
        <v>398</v>
      </c>
      <c r="D277" s="38" t="s">
        <v>690</v>
      </c>
      <c r="E277" s="38">
        <v>57</v>
      </c>
      <c r="F277" s="38">
        <v>854</v>
      </c>
      <c r="G277" s="38"/>
    </row>
    <row r="278" spans="2:7" x14ac:dyDescent="0.3">
      <c r="B278" s="38" t="s">
        <v>692</v>
      </c>
      <c r="C278" s="38" t="s">
        <v>398</v>
      </c>
      <c r="D278" s="38" t="s">
        <v>690</v>
      </c>
      <c r="E278" s="38">
        <v>47</v>
      </c>
      <c r="F278" s="38">
        <v>611</v>
      </c>
      <c r="G278" s="38"/>
    </row>
    <row r="279" spans="2:7" x14ac:dyDescent="0.3">
      <c r="B279" s="38" t="s">
        <v>693</v>
      </c>
      <c r="C279" s="38" t="s">
        <v>398</v>
      </c>
      <c r="D279" s="38" t="s">
        <v>690</v>
      </c>
      <c r="E279" s="38">
        <v>15</v>
      </c>
      <c r="F279" s="38">
        <v>202</v>
      </c>
      <c r="G279" s="38"/>
    </row>
    <row r="280" spans="2:7" x14ac:dyDescent="0.3">
      <c r="B280" s="38" t="s">
        <v>694</v>
      </c>
      <c r="C280" s="38" t="s">
        <v>398</v>
      </c>
      <c r="D280" s="38" t="s">
        <v>690</v>
      </c>
      <c r="E280" s="38">
        <v>10</v>
      </c>
      <c r="F280" s="38">
        <v>126</v>
      </c>
      <c r="G280" s="38"/>
    </row>
    <row r="281" spans="2:7" x14ac:dyDescent="0.3">
      <c r="B281" s="38" t="s">
        <v>695</v>
      </c>
      <c r="C281" s="38" t="s">
        <v>398</v>
      </c>
      <c r="D281" s="38" t="s">
        <v>690</v>
      </c>
      <c r="E281" s="38">
        <v>6</v>
      </c>
      <c r="F281" s="38">
        <v>50</v>
      </c>
      <c r="G281" s="38"/>
    </row>
    <row r="282" spans="2:7" x14ac:dyDescent="0.3">
      <c r="B282" s="38" t="s">
        <v>696</v>
      </c>
      <c r="C282" s="38" t="s">
        <v>407</v>
      </c>
      <c r="D282" s="38" t="s">
        <v>690</v>
      </c>
      <c r="E282" s="38">
        <v>79</v>
      </c>
      <c r="F282" s="38">
        <v>863</v>
      </c>
      <c r="G282" s="38"/>
    </row>
    <row r="283" spans="2:7" x14ac:dyDescent="0.3">
      <c r="B283" s="38" t="s">
        <v>697</v>
      </c>
      <c r="C283" s="38" t="s">
        <v>407</v>
      </c>
      <c r="D283" s="38" t="s">
        <v>690</v>
      </c>
      <c r="E283" s="38">
        <v>16</v>
      </c>
      <c r="F283" s="38">
        <v>142</v>
      </c>
      <c r="G283" s="38"/>
    </row>
    <row r="284" spans="2:7" x14ac:dyDescent="0.3">
      <c r="B284" s="38" t="s">
        <v>698</v>
      </c>
      <c r="C284" s="38" t="s">
        <v>407</v>
      </c>
      <c r="D284" s="38" t="s">
        <v>690</v>
      </c>
      <c r="E284" s="38">
        <v>0</v>
      </c>
      <c r="F284" s="38">
        <v>0</v>
      </c>
      <c r="G284" s="38"/>
    </row>
    <row r="285" spans="2:7" x14ac:dyDescent="0.3">
      <c r="B285" s="38" t="s">
        <v>699</v>
      </c>
      <c r="C285" s="38" t="s">
        <v>407</v>
      </c>
      <c r="D285" s="38" t="s">
        <v>690</v>
      </c>
      <c r="E285" s="38">
        <v>0</v>
      </c>
      <c r="F285" s="38">
        <v>0</v>
      </c>
      <c r="G285" s="38"/>
    </row>
    <row r="286" spans="2:7" x14ac:dyDescent="0.3">
      <c r="B286" s="38" t="s">
        <v>700</v>
      </c>
      <c r="C286" s="38" t="s">
        <v>407</v>
      </c>
      <c r="D286" s="38" t="s">
        <v>690</v>
      </c>
      <c r="E286" s="38">
        <v>0</v>
      </c>
      <c r="F286" s="38">
        <v>0</v>
      </c>
      <c r="G286" s="38"/>
    </row>
    <row r="287" spans="2:7" x14ac:dyDescent="0.3">
      <c r="B287" s="38" t="s">
        <v>701</v>
      </c>
      <c r="C287" s="38" t="s">
        <v>398</v>
      </c>
      <c r="D287" s="38" t="s">
        <v>702</v>
      </c>
      <c r="E287" s="38">
        <v>66</v>
      </c>
      <c r="F287" s="38">
        <v>977</v>
      </c>
      <c r="G287" s="38"/>
    </row>
    <row r="288" spans="2:7" x14ac:dyDescent="0.3">
      <c r="B288" s="38" t="s">
        <v>703</v>
      </c>
      <c r="C288" s="38" t="s">
        <v>398</v>
      </c>
      <c r="D288" s="38" t="s">
        <v>702</v>
      </c>
      <c r="E288" s="38">
        <v>67</v>
      </c>
      <c r="F288" s="38">
        <v>827</v>
      </c>
      <c r="G288" s="38"/>
    </row>
    <row r="289" spans="2:7" x14ac:dyDescent="0.3">
      <c r="B289" s="38" t="s">
        <v>704</v>
      </c>
      <c r="C289" s="38" t="s">
        <v>398</v>
      </c>
      <c r="D289" s="38" t="s">
        <v>702</v>
      </c>
      <c r="E289" s="38">
        <v>50</v>
      </c>
      <c r="F289" s="38">
        <v>754</v>
      </c>
      <c r="G289" s="38"/>
    </row>
    <row r="290" spans="2:7" x14ac:dyDescent="0.3">
      <c r="B290" s="38" t="s">
        <v>705</v>
      </c>
      <c r="C290" s="38" t="s">
        <v>398</v>
      </c>
      <c r="D290" s="38" t="s">
        <v>702</v>
      </c>
      <c r="E290" s="38">
        <v>47</v>
      </c>
      <c r="F290" s="38">
        <v>641</v>
      </c>
      <c r="G290" s="38"/>
    </row>
    <row r="291" spans="2:7" x14ac:dyDescent="0.3">
      <c r="B291" s="38" t="s">
        <v>706</v>
      </c>
      <c r="C291" s="38" t="s">
        <v>398</v>
      </c>
      <c r="D291" s="38" t="s">
        <v>702</v>
      </c>
      <c r="E291" s="38">
        <v>9</v>
      </c>
      <c r="F291" s="38">
        <v>122</v>
      </c>
      <c r="G291" s="38"/>
    </row>
    <row r="292" spans="2:7" x14ac:dyDescent="0.3">
      <c r="B292" s="38" t="s">
        <v>707</v>
      </c>
      <c r="C292" s="38" t="s">
        <v>407</v>
      </c>
      <c r="D292" s="38" t="s">
        <v>702</v>
      </c>
      <c r="E292" s="38">
        <v>26</v>
      </c>
      <c r="F292" s="38">
        <v>219</v>
      </c>
      <c r="G292" s="38"/>
    </row>
    <row r="293" spans="2:7" x14ac:dyDescent="0.3">
      <c r="B293" s="38" t="s">
        <v>708</v>
      </c>
      <c r="C293" s="38" t="s">
        <v>407</v>
      </c>
      <c r="D293" s="38" t="s">
        <v>702</v>
      </c>
      <c r="E293" s="38">
        <v>30</v>
      </c>
      <c r="F293" s="38">
        <v>258</v>
      </c>
      <c r="G293" s="38"/>
    </row>
    <row r="294" spans="2:7" x14ac:dyDescent="0.3">
      <c r="B294" s="38" t="s">
        <v>709</v>
      </c>
      <c r="C294" s="38" t="s">
        <v>407</v>
      </c>
      <c r="D294" s="38" t="s">
        <v>702</v>
      </c>
      <c r="E294" s="38">
        <v>4</v>
      </c>
      <c r="F294" s="38">
        <v>28</v>
      </c>
      <c r="G294" s="38"/>
    </row>
    <row r="295" spans="2:7" x14ac:dyDescent="0.3">
      <c r="B295" s="38" t="s">
        <v>710</v>
      </c>
      <c r="C295" s="38" t="s">
        <v>407</v>
      </c>
      <c r="D295" s="38" t="s">
        <v>702</v>
      </c>
      <c r="E295" s="38">
        <v>0</v>
      </c>
      <c r="F295" s="38">
        <v>0</v>
      </c>
      <c r="G295" s="38"/>
    </row>
    <row r="296" spans="2:7" x14ac:dyDescent="0.3">
      <c r="B296" s="38" t="s">
        <v>711</v>
      </c>
      <c r="C296" s="38" t="s">
        <v>407</v>
      </c>
      <c r="D296" s="38" t="s">
        <v>702</v>
      </c>
      <c r="E296" s="38">
        <v>0</v>
      </c>
      <c r="F296" s="38">
        <v>0</v>
      </c>
      <c r="G296" s="38"/>
    </row>
    <row r="297" spans="2:7" x14ac:dyDescent="0.3">
      <c r="B297" s="38" t="s">
        <v>712</v>
      </c>
      <c r="C297" s="38" t="s">
        <v>398</v>
      </c>
      <c r="D297" s="38" t="s">
        <v>713</v>
      </c>
      <c r="E297" s="38">
        <v>89</v>
      </c>
      <c r="F297" s="38">
        <v>1328</v>
      </c>
      <c r="G297" s="38"/>
    </row>
    <row r="298" spans="2:7" x14ac:dyDescent="0.3">
      <c r="B298" s="38" t="s">
        <v>714</v>
      </c>
      <c r="C298" s="38" t="s">
        <v>398</v>
      </c>
      <c r="D298" s="38" t="s">
        <v>713</v>
      </c>
      <c r="E298" s="38">
        <v>74</v>
      </c>
      <c r="F298" s="38">
        <v>956</v>
      </c>
      <c r="G298" s="38"/>
    </row>
    <row r="299" spans="2:7" x14ac:dyDescent="0.3">
      <c r="B299" s="38" t="s">
        <v>715</v>
      </c>
      <c r="C299" s="38" t="s">
        <v>398</v>
      </c>
      <c r="D299" s="38" t="s">
        <v>713</v>
      </c>
      <c r="E299" s="38">
        <v>50</v>
      </c>
      <c r="F299" s="38">
        <v>548</v>
      </c>
      <c r="G299" s="38"/>
    </row>
    <row r="300" spans="2:7" x14ac:dyDescent="0.3">
      <c r="B300" s="38" t="s">
        <v>716</v>
      </c>
      <c r="C300" s="38" t="s">
        <v>398</v>
      </c>
      <c r="D300" s="38" t="s">
        <v>713</v>
      </c>
      <c r="E300" s="38">
        <v>37</v>
      </c>
      <c r="F300" s="38">
        <v>327</v>
      </c>
      <c r="G300" s="38"/>
    </row>
    <row r="301" spans="2:7" x14ac:dyDescent="0.3">
      <c r="B301" s="38" t="s">
        <v>717</v>
      </c>
      <c r="C301" s="38" t="s">
        <v>398</v>
      </c>
      <c r="D301" s="38" t="s">
        <v>713</v>
      </c>
      <c r="E301" s="38">
        <v>17</v>
      </c>
      <c r="F301" s="38">
        <v>184</v>
      </c>
      <c r="G301" s="38"/>
    </row>
    <row r="302" spans="2:7" x14ac:dyDescent="0.3">
      <c r="B302" s="38" t="s">
        <v>718</v>
      </c>
      <c r="C302" s="38" t="s">
        <v>398</v>
      </c>
      <c r="D302" s="38" t="s">
        <v>713</v>
      </c>
      <c r="E302" s="38">
        <v>12</v>
      </c>
      <c r="F302" s="38">
        <v>84</v>
      </c>
      <c r="G302" s="38"/>
    </row>
    <row r="303" spans="2:7" x14ac:dyDescent="0.3">
      <c r="B303" s="38" t="s">
        <v>719</v>
      </c>
      <c r="C303" s="38" t="s">
        <v>398</v>
      </c>
      <c r="D303" s="38" t="s">
        <v>713</v>
      </c>
      <c r="E303" s="38">
        <v>2</v>
      </c>
      <c r="F303" s="38">
        <v>17</v>
      </c>
      <c r="G303" s="38"/>
    </row>
    <row r="304" spans="2:7" x14ac:dyDescent="0.3">
      <c r="B304" s="38" t="s">
        <v>720</v>
      </c>
      <c r="C304" s="38" t="s">
        <v>407</v>
      </c>
      <c r="D304" s="38" t="s">
        <v>713</v>
      </c>
      <c r="E304" s="38">
        <v>22</v>
      </c>
      <c r="F304" s="38">
        <v>223</v>
      </c>
      <c r="G304" s="38"/>
    </row>
    <row r="305" spans="2:7" x14ac:dyDescent="0.3">
      <c r="B305" s="38" t="s">
        <v>721</v>
      </c>
      <c r="C305" s="38" t="s">
        <v>407</v>
      </c>
      <c r="D305" s="38" t="s">
        <v>713</v>
      </c>
      <c r="E305" s="38">
        <v>15</v>
      </c>
      <c r="F305" s="38">
        <v>114</v>
      </c>
      <c r="G305" s="38"/>
    </row>
    <row r="306" spans="2:7" x14ac:dyDescent="0.3">
      <c r="B306" s="38" t="s">
        <v>722</v>
      </c>
      <c r="C306" s="38" t="s">
        <v>407</v>
      </c>
      <c r="D306" s="38" t="s">
        <v>713</v>
      </c>
      <c r="E306" s="38">
        <v>11</v>
      </c>
      <c r="F306" s="38">
        <v>96</v>
      </c>
      <c r="G306" s="38"/>
    </row>
    <row r="307" spans="2:7" x14ac:dyDescent="0.3">
      <c r="B307" s="38" t="s">
        <v>723</v>
      </c>
      <c r="C307" s="38" t="s">
        <v>407</v>
      </c>
      <c r="D307" s="38" t="s">
        <v>713</v>
      </c>
      <c r="E307" s="38">
        <v>0</v>
      </c>
      <c r="F307" s="38">
        <v>0</v>
      </c>
      <c r="G307" s="38"/>
    </row>
    <row r="308" spans="2:7" x14ac:dyDescent="0.3">
      <c r="B308" s="38" t="s">
        <v>724</v>
      </c>
      <c r="C308" s="38" t="s">
        <v>407</v>
      </c>
      <c r="D308" s="38" t="s">
        <v>713</v>
      </c>
      <c r="E308" s="38">
        <v>0</v>
      </c>
      <c r="F308" s="38">
        <v>0</v>
      </c>
      <c r="G308" s="38"/>
    </row>
    <row r="309" spans="2:7" x14ac:dyDescent="0.3">
      <c r="B309" s="38" t="s">
        <v>725</v>
      </c>
      <c r="C309" s="38" t="s">
        <v>398</v>
      </c>
      <c r="D309" s="38" t="s">
        <v>726</v>
      </c>
      <c r="E309" s="38">
        <v>66</v>
      </c>
      <c r="F309" s="38">
        <v>971</v>
      </c>
      <c r="G309" s="38"/>
    </row>
    <row r="310" spans="2:7" x14ac:dyDescent="0.3">
      <c r="B310" s="38" t="s">
        <v>727</v>
      </c>
      <c r="C310" s="38" t="s">
        <v>398</v>
      </c>
      <c r="D310" s="38" t="s">
        <v>726</v>
      </c>
      <c r="E310" s="38">
        <v>41</v>
      </c>
      <c r="F310" s="38">
        <v>499</v>
      </c>
      <c r="G310" s="38"/>
    </row>
    <row r="311" spans="2:7" x14ac:dyDescent="0.3">
      <c r="B311" s="38" t="s">
        <v>728</v>
      </c>
      <c r="C311" s="38" t="s">
        <v>398</v>
      </c>
      <c r="D311" s="38" t="s">
        <v>726</v>
      </c>
      <c r="E311" s="38">
        <v>25</v>
      </c>
      <c r="F311" s="38">
        <v>371</v>
      </c>
      <c r="G311" s="38"/>
    </row>
    <row r="312" spans="2:7" x14ac:dyDescent="0.3">
      <c r="B312" s="38" t="s">
        <v>729</v>
      </c>
      <c r="C312" s="38" t="s">
        <v>398</v>
      </c>
      <c r="D312" s="38" t="s">
        <v>726</v>
      </c>
      <c r="E312" s="38">
        <v>28</v>
      </c>
      <c r="F312" s="38">
        <v>324</v>
      </c>
      <c r="G312" s="38"/>
    </row>
    <row r="313" spans="2:7" x14ac:dyDescent="0.3">
      <c r="B313" s="38" t="s">
        <v>730</v>
      </c>
      <c r="C313" s="38" t="s">
        <v>398</v>
      </c>
      <c r="D313" s="38" t="s">
        <v>726</v>
      </c>
      <c r="E313" s="38">
        <v>12</v>
      </c>
      <c r="F313" s="38">
        <v>188</v>
      </c>
      <c r="G313" s="38"/>
    </row>
    <row r="314" spans="2:7" x14ac:dyDescent="0.3">
      <c r="B314" s="38" t="s">
        <v>731</v>
      </c>
      <c r="C314" s="38" t="s">
        <v>398</v>
      </c>
      <c r="D314" s="38" t="s">
        <v>726</v>
      </c>
      <c r="E314" s="38">
        <v>21</v>
      </c>
      <c r="F314" s="38">
        <v>198</v>
      </c>
      <c r="G314" s="38"/>
    </row>
    <row r="315" spans="2:7" x14ac:dyDescent="0.3">
      <c r="B315" s="38" t="s">
        <v>732</v>
      </c>
      <c r="C315" s="38" t="s">
        <v>398</v>
      </c>
      <c r="D315" s="38" t="s">
        <v>726</v>
      </c>
      <c r="E315" s="38">
        <v>4</v>
      </c>
      <c r="F315" s="38">
        <v>42</v>
      </c>
      <c r="G315" s="38"/>
    </row>
    <row r="316" spans="2:7" x14ac:dyDescent="0.3">
      <c r="B316" s="38" t="s">
        <v>733</v>
      </c>
      <c r="C316" s="38" t="s">
        <v>407</v>
      </c>
      <c r="D316" s="38" t="s">
        <v>726</v>
      </c>
      <c r="E316" s="38">
        <v>26</v>
      </c>
      <c r="F316" s="38">
        <v>290</v>
      </c>
      <c r="G316" s="38"/>
    </row>
    <row r="317" spans="2:7" x14ac:dyDescent="0.3">
      <c r="B317" s="38" t="s">
        <v>734</v>
      </c>
      <c r="C317" s="38" t="s">
        <v>407</v>
      </c>
      <c r="D317" s="38" t="s">
        <v>726</v>
      </c>
      <c r="E317" s="38">
        <v>13</v>
      </c>
      <c r="F317" s="38">
        <v>100</v>
      </c>
      <c r="G317" s="38"/>
    </row>
    <row r="318" spans="2:7" x14ac:dyDescent="0.3">
      <c r="B318" s="38" t="s">
        <v>735</v>
      </c>
      <c r="C318" s="38" t="s">
        <v>407</v>
      </c>
      <c r="D318" s="38" t="s">
        <v>726</v>
      </c>
      <c r="E318" s="38">
        <v>6</v>
      </c>
      <c r="F318" s="38">
        <v>37</v>
      </c>
      <c r="G318" s="38"/>
    </row>
    <row r="319" spans="2:7" x14ac:dyDescent="0.3">
      <c r="B319" s="38" t="s">
        <v>736</v>
      </c>
      <c r="C319" s="38" t="s">
        <v>407</v>
      </c>
      <c r="D319" s="38" t="s">
        <v>726</v>
      </c>
      <c r="E319" s="38">
        <v>2</v>
      </c>
      <c r="F319" s="38">
        <v>24</v>
      </c>
      <c r="G319" s="38"/>
    </row>
    <row r="320" spans="2:7" x14ac:dyDescent="0.3">
      <c r="B320" s="38" t="s">
        <v>737</v>
      </c>
      <c r="C320" s="38" t="s">
        <v>407</v>
      </c>
      <c r="D320" s="38" t="s">
        <v>726</v>
      </c>
      <c r="E320" s="38">
        <v>2</v>
      </c>
      <c r="F320" s="38">
        <v>14</v>
      </c>
      <c r="G320" s="38"/>
    </row>
    <row r="321" spans="2:7" x14ac:dyDescent="0.3">
      <c r="B321" s="38" t="s">
        <v>738</v>
      </c>
      <c r="C321" s="38" t="s">
        <v>398</v>
      </c>
      <c r="D321" s="38" t="s">
        <v>739</v>
      </c>
      <c r="E321" s="38">
        <v>81</v>
      </c>
      <c r="F321" s="38">
        <v>1124</v>
      </c>
      <c r="G321" s="38"/>
    </row>
    <row r="322" spans="2:7" x14ac:dyDescent="0.3">
      <c r="B322" s="38" t="s">
        <v>740</v>
      </c>
      <c r="C322" s="38" t="s">
        <v>398</v>
      </c>
      <c r="D322" s="38" t="s">
        <v>739</v>
      </c>
      <c r="E322" s="38">
        <v>59</v>
      </c>
      <c r="F322" s="38">
        <v>942</v>
      </c>
      <c r="G322" s="38"/>
    </row>
    <row r="323" spans="2:7" x14ac:dyDescent="0.3">
      <c r="B323" s="38" t="s">
        <v>741</v>
      </c>
      <c r="C323" s="38" t="s">
        <v>398</v>
      </c>
      <c r="D323" s="38" t="s">
        <v>739</v>
      </c>
      <c r="E323" s="38">
        <v>57</v>
      </c>
      <c r="F323" s="38">
        <v>714</v>
      </c>
      <c r="G323" s="38"/>
    </row>
    <row r="324" spans="2:7" x14ac:dyDescent="0.3">
      <c r="B324" s="38" t="s">
        <v>742</v>
      </c>
      <c r="C324" s="38" t="s">
        <v>398</v>
      </c>
      <c r="D324" s="38" t="s">
        <v>739</v>
      </c>
      <c r="E324" s="38">
        <v>37</v>
      </c>
      <c r="F324" s="38">
        <v>474</v>
      </c>
      <c r="G324" s="38"/>
    </row>
    <row r="325" spans="2:7" x14ac:dyDescent="0.3">
      <c r="B325" s="38" t="s">
        <v>743</v>
      </c>
      <c r="C325" s="38" t="s">
        <v>398</v>
      </c>
      <c r="D325" s="38" t="s">
        <v>739</v>
      </c>
      <c r="E325" s="38">
        <v>29</v>
      </c>
      <c r="F325" s="38">
        <v>316</v>
      </c>
      <c r="G325" s="38"/>
    </row>
    <row r="326" spans="2:7" x14ac:dyDescent="0.3">
      <c r="B326" s="38" t="s">
        <v>744</v>
      </c>
      <c r="C326" s="38" t="s">
        <v>398</v>
      </c>
      <c r="D326" s="38" t="s">
        <v>739</v>
      </c>
      <c r="E326" s="38">
        <v>10</v>
      </c>
      <c r="F326" s="38">
        <v>165</v>
      </c>
      <c r="G326" s="38"/>
    </row>
    <row r="327" spans="2:7" x14ac:dyDescent="0.3">
      <c r="B327" s="38" t="s">
        <v>745</v>
      </c>
      <c r="C327" s="38" t="s">
        <v>407</v>
      </c>
      <c r="D327" s="38" t="s">
        <v>739</v>
      </c>
      <c r="E327" s="38">
        <v>33</v>
      </c>
      <c r="F327" s="38">
        <v>340</v>
      </c>
      <c r="G327" s="38"/>
    </row>
    <row r="328" spans="2:7" x14ac:dyDescent="0.3">
      <c r="B328" s="38" t="s">
        <v>746</v>
      </c>
      <c r="C328" s="38" t="s">
        <v>407</v>
      </c>
      <c r="D328" s="38" t="s">
        <v>739</v>
      </c>
      <c r="E328" s="38">
        <v>14</v>
      </c>
      <c r="F328" s="38">
        <v>122</v>
      </c>
      <c r="G328" s="38"/>
    </row>
    <row r="329" spans="2:7" x14ac:dyDescent="0.3">
      <c r="B329" s="38" t="s">
        <v>747</v>
      </c>
      <c r="C329" s="38" t="s">
        <v>407</v>
      </c>
      <c r="D329" s="38" t="s">
        <v>739</v>
      </c>
      <c r="E329" s="38">
        <v>4</v>
      </c>
      <c r="F329" s="38">
        <v>38</v>
      </c>
      <c r="G329" s="38"/>
    </row>
    <row r="330" spans="2:7" x14ac:dyDescent="0.3">
      <c r="B330" s="38" t="s">
        <v>748</v>
      </c>
      <c r="C330" s="38" t="s">
        <v>407</v>
      </c>
      <c r="D330" s="38" t="s">
        <v>739</v>
      </c>
      <c r="E330" s="38">
        <v>4</v>
      </c>
      <c r="F330" s="38">
        <v>37</v>
      </c>
      <c r="G330" s="38"/>
    </row>
    <row r="331" spans="2:7" x14ac:dyDescent="0.3">
      <c r="B331" s="38" t="s">
        <v>749</v>
      </c>
      <c r="C331" s="38" t="s">
        <v>407</v>
      </c>
      <c r="D331" s="38" t="s">
        <v>739</v>
      </c>
      <c r="E331" s="38">
        <v>0</v>
      </c>
      <c r="F331" s="38">
        <v>0</v>
      </c>
      <c r="G331" s="38"/>
    </row>
    <row r="332" spans="2:7" x14ac:dyDescent="0.3">
      <c r="B332" s="38" t="s">
        <v>750</v>
      </c>
      <c r="C332" s="38" t="s">
        <v>398</v>
      </c>
      <c r="D332" s="38" t="s">
        <v>751</v>
      </c>
      <c r="E332" s="38">
        <v>67</v>
      </c>
      <c r="F332" s="38">
        <v>927</v>
      </c>
      <c r="G332" s="38"/>
    </row>
    <row r="333" spans="2:7" x14ac:dyDescent="0.3">
      <c r="B333" s="38" t="s">
        <v>752</v>
      </c>
      <c r="C333" s="38" t="s">
        <v>398</v>
      </c>
      <c r="D333" s="38" t="s">
        <v>751</v>
      </c>
      <c r="E333" s="38">
        <v>71</v>
      </c>
      <c r="F333" s="38">
        <v>1003</v>
      </c>
      <c r="G333" s="38"/>
    </row>
    <row r="334" spans="2:7" x14ac:dyDescent="0.3">
      <c r="B334" s="38" t="s">
        <v>753</v>
      </c>
      <c r="C334" s="38" t="s">
        <v>398</v>
      </c>
      <c r="D334" s="38" t="s">
        <v>751</v>
      </c>
      <c r="E334" s="38">
        <v>47</v>
      </c>
      <c r="F334" s="38">
        <v>526</v>
      </c>
      <c r="G334" s="38"/>
    </row>
    <row r="335" spans="2:7" x14ac:dyDescent="0.3">
      <c r="B335" s="38" t="s">
        <v>754</v>
      </c>
      <c r="C335" s="38" t="s">
        <v>398</v>
      </c>
      <c r="D335" s="38" t="s">
        <v>751</v>
      </c>
      <c r="E335" s="38">
        <v>14</v>
      </c>
      <c r="F335" s="38">
        <v>184</v>
      </c>
      <c r="G335" s="38"/>
    </row>
    <row r="336" spans="2:7" x14ac:dyDescent="0.3">
      <c r="B336" s="38" t="s">
        <v>755</v>
      </c>
      <c r="C336" s="38" t="s">
        <v>398</v>
      </c>
      <c r="D336" s="38" t="s">
        <v>751</v>
      </c>
      <c r="E336" s="38">
        <v>18</v>
      </c>
      <c r="F336" s="38">
        <v>208</v>
      </c>
      <c r="G336" s="38"/>
    </row>
    <row r="337" spans="2:7" x14ac:dyDescent="0.3">
      <c r="B337" s="38" t="s">
        <v>756</v>
      </c>
      <c r="C337" s="38" t="s">
        <v>407</v>
      </c>
      <c r="D337" s="38" t="s">
        <v>751</v>
      </c>
      <c r="E337" s="38">
        <v>28</v>
      </c>
      <c r="F337" s="38">
        <v>264</v>
      </c>
      <c r="G337" s="38"/>
    </row>
    <row r="338" spans="2:7" x14ac:dyDescent="0.3">
      <c r="B338" s="38" t="s">
        <v>757</v>
      </c>
      <c r="C338" s="38" t="s">
        <v>407</v>
      </c>
      <c r="D338" s="38" t="s">
        <v>751</v>
      </c>
      <c r="E338" s="38">
        <v>13</v>
      </c>
      <c r="F338" s="38">
        <v>118</v>
      </c>
      <c r="G338" s="38"/>
    </row>
    <row r="339" spans="2:7" x14ac:dyDescent="0.3">
      <c r="B339" s="38" t="s">
        <v>758</v>
      </c>
      <c r="C339" s="38" t="s">
        <v>407</v>
      </c>
      <c r="D339" s="38" t="s">
        <v>751</v>
      </c>
      <c r="E339" s="38">
        <v>4</v>
      </c>
      <c r="F339" s="38">
        <v>31</v>
      </c>
      <c r="G339" s="38"/>
    </row>
    <row r="340" spans="2:7" x14ac:dyDescent="0.3">
      <c r="B340" s="38" t="s">
        <v>759</v>
      </c>
      <c r="C340" s="38" t="s">
        <v>407</v>
      </c>
      <c r="D340" s="38" t="s">
        <v>751</v>
      </c>
      <c r="E340" s="38">
        <v>0</v>
      </c>
      <c r="F340" s="38">
        <v>0</v>
      </c>
      <c r="G340" s="38"/>
    </row>
    <row r="341" spans="2:7" x14ac:dyDescent="0.3">
      <c r="B341" s="38" t="s">
        <v>760</v>
      </c>
      <c r="C341" s="38" t="s">
        <v>407</v>
      </c>
      <c r="D341" s="38" t="s">
        <v>751</v>
      </c>
      <c r="E341" s="38">
        <v>0</v>
      </c>
      <c r="F341" s="38">
        <v>0</v>
      </c>
      <c r="G341" s="38"/>
    </row>
    <row r="342" spans="2:7" x14ac:dyDescent="0.3">
      <c r="B342" s="38" t="s">
        <v>761</v>
      </c>
      <c r="C342" s="38" t="s">
        <v>398</v>
      </c>
      <c r="D342" s="38" t="s">
        <v>762</v>
      </c>
      <c r="E342" s="38">
        <v>70</v>
      </c>
      <c r="F342" s="38">
        <v>1034</v>
      </c>
      <c r="G342" s="38"/>
    </row>
    <row r="343" spans="2:7" x14ac:dyDescent="0.3">
      <c r="B343" s="38" t="s">
        <v>763</v>
      </c>
      <c r="C343" s="38" t="s">
        <v>398</v>
      </c>
      <c r="D343" s="38" t="s">
        <v>762</v>
      </c>
      <c r="E343" s="38">
        <v>56</v>
      </c>
      <c r="F343" s="38">
        <v>789</v>
      </c>
      <c r="G343" s="38"/>
    </row>
    <row r="344" spans="2:7" x14ac:dyDescent="0.3">
      <c r="B344" s="38" t="s">
        <v>764</v>
      </c>
      <c r="C344" s="38" t="s">
        <v>398</v>
      </c>
      <c r="D344" s="38" t="s">
        <v>762</v>
      </c>
      <c r="E344" s="38">
        <v>38</v>
      </c>
      <c r="F344" s="38">
        <v>469</v>
      </c>
      <c r="G344" s="38"/>
    </row>
    <row r="345" spans="2:7" x14ac:dyDescent="0.3">
      <c r="B345" s="38" t="s">
        <v>765</v>
      </c>
      <c r="C345" s="38" t="s">
        <v>398</v>
      </c>
      <c r="D345" s="38" t="s">
        <v>762</v>
      </c>
      <c r="E345" s="38">
        <v>20</v>
      </c>
      <c r="F345" s="38">
        <v>268</v>
      </c>
      <c r="G345" s="38"/>
    </row>
    <row r="346" spans="2:7" x14ac:dyDescent="0.3">
      <c r="B346" s="38" t="s">
        <v>766</v>
      </c>
      <c r="C346" s="38" t="s">
        <v>398</v>
      </c>
      <c r="D346" s="38" t="s">
        <v>762</v>
      </c>
      <c r="E346" s="38">
        <v>18</v>
      </c>
      <c r="F346" s="38">
        <v>199</v>
      </c>
      <c r="G346" s="38"/>
    </row>
    <row r="347" spans="2:7" x14ac:dyDescent="0.3">
      <c r="B347" s="38" t="s">
        <v>767</v>
      </c>
      <c r="C347" s="38" t="s">
        <v>398</v>
      </c>
      <c r="D347" s="38" t="s">
        <v>762</v>
      </c>
      <c r="E347" s="38">
        <v>4</v>
      </c>
      <c r="F347" s="38">
        <v>60</v>
      </c>
      <c r="G347" s="38"/>
    </row>
    <row r="348" spans="2:7" x14ac:dyDescent="0.3">
      <c r="B348" s="38" t="s">
        <v>768</v>
      </c>
      <c r="C348" s="38" t="s">
        <v>407</v>
      </c>
      <c r="D348" s="38" t="s">
        <v>762</v>
      </c>
      <c r="E348" s="38">
        <v>61</v>
      </c>
      <c r="F348" s="38">
        <v>721</v>
      </c>
      <c r="G348" s="38"/>
    </row>
    <row r="349" spans="2:7" x14ac:dyDescent="0.3">
      <c r="B349" s="38" t="s">
        <v>769</v>
      </c>
      <c r="C349" s="38" t="s">
        <v>407</v>
      </c>
      <c r="D349" s="38" t="s">
        <v>762</v>
      </c>
      <c r="E349" s="38">
        <v>18</v>
      </c>
      <c r="F349" s="38">
        <v>146</v>
      </c>
      <c r="G349" s="38"/>
    </row>
    <row r="350" spans="2:7" x14ac:dyDescent="0.3">
      <c r="B350" s="38" t="s">
        <v>770</v>
      </c>
      <c r="C350" s="38" t="s">
        <v>407</v>
      </c>
      <c r="D350" s="38" t="s">
        <v>762</v>
      </c>
      <c r="E350" s="38">
        <v>11</v>
      </c>
      <c r="F350" s="38">
        <v>99</v>
      </c>
      <c r="G350" s="38"/>
    </row>
    <row r="351" spans="2:7" x14ac:dyDescent="0.3">
      <c r="B351" s="38" t="s">
        <v>771</v>
      </c>
      <c r="C351" s="38" t="s">
        <v>407</v>
      </c>
      <c r="D351" s="38" t="s">
        <v>762</v>
      </c>
      <c r="E351" s="38">
        <v>4</v>
      </c>
      <c r="F351" s="38">
        <v>39</v>
      </c>
      <c r="G351" s="38"/>
    </row>
    <row r="352" spans="2:7" x14ac:dyDescent="0.3">
      <c r="B352" s="38" t="s">
        <v>772</v>
      </c>
      <c r="C352" s="38" t="s">
        <v>407</v>
      </c>
      <c r="D352" s="38" t="s">
        <v>762</v>
      </c>
      <c r="E352" s="38">
        <v>0</v>
      </c>
      <c r="F352" s="38">
        <v>0</v>
      </c>
      <c r="G352" s="38"/>
    </row>
    <row r="353" spans="2:7" x14ac:dyDescent="0.3">
      <c r="B353" s="38" t="s">
        <v>773</v>
      </c>
      <c r="C353" s="38" t="s">
        <v>398</v>
      </c>
      <c r="D353" s="38" t="s">
        <v>774</v>
      </c>
      <c r="E353" s="38">
        <v>58</v>
      </c>
      <c r="F353" s="38">
        <v>774</v>
      </c>
      <c r="G353" s="38"/>
    </row>
    <row r="354" spans="2:7" x14ac:dyDescent="0.3">
      <c r="B354" s="38" t="s">
        <v>775</v>
      </c>
      <c r="C354" s="38" t="s">
        <v>398</v>
      </c>
      <c r="D354" s="38" t="s">
        <v>774</v>
      </c>
      <c r="E354" s="38">
        <v>44</v>
      </c>
      <c r="F354" s="38">
        <v>577</v>
      </c>
      <c r="G354" s="38"/>
    </row>
    <row r="355" spans="2:7" x14ac:dyDescent="0.3">
      <c r="B355" s="38" t="s">
        <v>776</v>
      </c>
      <c r="C355" s="38" t="s">
        <v>398</v>
      </c>
      <c r="D355" s="38" t="s">
        <v>774</v>
      </c>
      <c r="E355" s="38">
        <v>39</v>
      </c>
      <c r="F355" s="38">
        <v>482</v>
      </c>
      <c r="G355" s="38"/>
    </row>
    <row r="356" spans="2:7" x14ac:dyDescent="0.3">
      <c r="B356" s="38" t="s">
        <v>777</v>
      </c>
      <c r="C356" s="38" t="s">
        <v>398</v>
      </c>
      <c r="D356" s="38" t="s">
        <v>774</v>
      </c>
      <c r="E356" s="38">
        <v>28</v>
      </c>
      <c r="F356" s="38">
        <v>390</v>
      </c>
      <c r="G356" s="38"/>
    </row>
    <row r="357" spans="2:7" x14ac:dyDescent="0.3">
      <c r="B357" s="38" t="s">
        <v>778</v>
      </c>
      <c r="C357" s="38" t="s">
        <v>398</v>
      </c>
      <c r="D357" s="38" t="s">
        <v>774</v>
      </c>
      <c r="E357" s="38">
        <v>21</v>
      </c>
      <c r="F357" s="38">
        <v>267</v>
      </c>
      <c r="G357" s="38"/>
    </row>
    <row r="358" spans="2:7" x14ac:dyDescent="0.3">
      <c r="B358" s="38" t="s">
        <v>779</v>
      </c>
      <c r="C358" s="38" t="s">
        <v>407</v>
      </c>
      <c r="D358" s="38" t="s">
        <v>774</v>
      </c>
      <c r="E358" s="38">
        <v>52</v>
      </c>
      <c r="F358" s="38">
        <v>713</v>
      </c>
      <c r="G358" s="38"/>
    </row>
    <row r="359" spans="2:7" x14ac:dyDescent="0.3">
      <c r="B359" s="38" t="s">
        <v>780</v>
      </c>
      <c r="C359" s="38" t="s">
        <v>407</v>
      </c>
      <c r="D359" s="38" t="s">
        <v>774</v>
      </c>
      <c r="E359" s="38">
        <v>3</v>
      </c>
      <c r="F359" s="38">
        <v>28</v>
      </c>
      <c r="G359" s="38"/>
    </row>
    <row r="360" spans="2:7" x14ac:dyDescent="0.3">
      <c r="B360" s="38" t="s">
        <v>781</v>
      </c>
      <c r="C360" s="38" t="s">
        <v>407</v>
      </c>
      <c r="D360" s="38" t="s">
        <v>774</v>
      </c>
      <c r="E360" s="38">
        <v>0</v>
      </c>
      <c r="F360" s="38">
        <v>0</v>
      </c>
      <c r="G360" s="38"/>
    </row>
    <row r="361" spans="2:7" x14ac:dyDescent="0.3">
      <c r="B361" s="38" t="s">
        <v>782</v>
      </c>
      <c r="C361" s="38" t="s">
        <v>407</v>
      </c>
      <c r="D361" s="38" t="s">
        <v>774</v>
      </c>
      <c r="E361" s="38">
        <v>0</v>
      </c>
      <c r="F361" s="38">
        <v>0</v>
      </c>
      <c r="G361" s="38"/>
    </row>
    <row r="362" spans="2:7" x14ac:dyDescent="0.3">
      <c r="B362" s="38" t="s">
        <v>783</v>
      </c>
      <c r="C362" s="38" t="s">
        <v>407</v>
      </c>
      <c r="D362" s="38" t="s">
        <v>774</v>
      </c>
      <c r="E362" s="38">
        <v>0</v>
      </c>
      <c r="F362" s="38">
        <v>0</v>
      </c>
      <c r="G362" s="38"/>
    </row>
    <row r="363" spans="2:7" x14ac:dyDescent="0.3">
      <c r="B363" s="38" t="s">
        <v>784</v>
      </c>
      <c r="C363" s="38" t="s">
        <v>398</v>
      </c>
      <c r="D363" s="38" t="s">
        <v>785</v>
      </c>
      <c r="E363" s="38">
        <v>78</v>
      </c>
      <c r="F363" s="38">
        <v>1164</v>
      </c>
      <c r="G363" s="38"/>
    </row>
    <row r="364" spans="2:7" x14ac:dyDescent="0.3">
      <c r="B364" s="38" t="s">
        <v>786</v>
      </c>
      <c r="C364" s="38" t="s">
        <v>398</v>
      </c>
      <c r="D364" s="38" t="s">
        <v>785</v>
      </c>
      <c r="E364" s="38">
        <v>74</v>
      </c>
      <c r="F364" s="38">
        <v>1083</v>
      </c>
      <c r="G364" s="38"/>
    </row>
    <row r="365" spans="2:7" x14ac:dyDescent="0.3">
      <c r="B365" s="38" t="s">
        <v>787</v>
      </c>
      <c r="C365" s="38" t="s">
        <v>398</v>
      </c>
      <c r="D365" s="38" t="s">
        <v>785</v>
      </c>
      <c r="E365" s="38">
        <v>46</v>
      </c>
      <c r="F365" s="38">
        <v>537</v>
      </c>
      <c r="G365" s="38"/>
    </row>
    <row r="366" spans="2:7" x14ac:dyDescent="0.3">
      <c r="B366" s="38" t="s">
        <v>788</v>
      </c>
      <c r="C366" s="38" t="s">
        <v>398</v>
      </c>
      <c r="D366" s="38" t="s">
        <v>785</v>
      </c>
      <c r="E366" s="38">
        <v>18</v>
      </c>
      <c r="F366" s="38">
        <v>245</v>
      </c>
      <c r="G366" s="38"/>
    </row>
    <row r="367" spans="2:7" x14ac:dyDescent="0.3">
      <c r="B367" s="38" t="s">
        <v>789</v>
      </c>
      <c r="C367" s="38" t="s">
        <v>398</v>
      </c>
      <c r="D367" s="38" t="s">
        <v>785</v>
      </c>
      <c r="E367" s="38">
        <v>12</v>
      </c>
      <c r="F367" s="38">
        <v>131</v>
      </c>
      <c r="G367" s="38"/>
    </row>
    <row r="368" spans="2:7" x14ac:dyDescent="0.3">
      <c r="B368" s="38" t="s">
        <v>790</v>
      </c>
      <c r="C368" s="38" t="s">
        <v>398</v>
      </c>
      <c r="D368" s="38" t="s">
        <v>785</v>
      </c>
      <c r="E368" s="38">
        <v>9</v>
      </c>
      <c r="F368" s="38">
        <v>78</v>
      </c>
      <c r="G368" s="38"/>
    </row>
    <row r="369" spans="2:7" x14ac:dyDescent="0.3">
      <c r="B369" s="38" t="s">
        <v>791</v>
      </c>
      <c r="C369" s="38" t="s">
        <v>407</v>
      </c>
      <c r="D369" s="38" t="s">
        <v>785</v>
      </c>
      <c r="E369" s="38">
        <v>30</v>
      </c>
      <c r="F369" s="38">
        <v>306</v>
      </c>
      <c r="G369" s="38"/>
    </row>
    <row r="370" spans="2:7" x14ac:dyDescent="0.3">
      <c r="B370" s="38" t="s">
        <v>792</v>
      </c>
      <c r="C370" s="38" t="s">
        <v>407</v>
      </c>
      <c r="D370" s="38" t="s">
        <v>785</v>
      </c>
      <c r="E370" s="38">
        <v>0</v>
      </c>
      <c r="F370" s="38">
        <v>0</v>
      </c>
      <c r="G370" s="38"/>
    </row>
    <row r="371" spans="2:7" x14ac:dyDescent="0.3">
      <c r="B371" s="38" t="s">
        <v>793</v>
      </c>
      <c r="C371" s="38" t="s">
        <v>407</v>
      </c>
      <c r="D371" s="38" t="s">
        <v>785</v>
      </c>
      <c r="E371" s="38">
        <v>0</v>
      </c>
      <c r="F371" s="38">
        <v>0</v>
      </c>
      <c r="G371" s="38"/>
    </row>
    <row r="372" spans="2:7" x14ac:dyDescent="0.3">
      <c r="B372" s="38" t="s">
        <v>794</v>
      </c>
      <c r="C372" s="38" t="s">
        <v>407</v>
      </c>
      <c r="D372" s="38" t="s">
        <v>785</v>
      </c>
      <c r="E372" s="38">
        <v>0</v>
      </c>
      <c r="F372" s="38">
        <v>0</v>
      </c>
      <c r="G372" s="38"/>
    </row>
    <row r="373" spans="2:7" x14ac:dyDescent="0.3">
      <c r="B373" s="38" t="s">
        <v>795</v>
      </c>
      <c r="C373" s="38" t="s">
        <v>407</v>
      </c>
      <c r="D373" s="38" t="s">
        <v>785</v>
      </c>
      <c r="E373" s="38">
        <v>0</v>
      </c>
      <c r="F373" s="38">
        <v>0</v>
      </c>
      <c r="G373" s="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</sheetPr>
  <dimension ref="A2:A10"/>
  <sheetViews>
    <sheetView workbookViewId="0">
      <selection activeCell="H31" sqref="H31"/>
    </sheetView>
  </sheetViews>
  <sheetFormatPr defaultRowHeight="12.75" x14ac:dyDescent="0.2"/>
  <cols>
    <col min="1" max="1" width="89.7109375" style="259" bestFit="1" customWidth="1"/>
    <col min="2" max="16384" width="9.140625" style="259"/>
  </cols>
  <sheetData>
    <row r="2" spans="1:1" ht="18.75" x14ac:dyDescent="0.3">
      <c r="A2" s="262" t="s">
        <v>1272</v>
      </c>
    </row>
    <row r="6" spans="1:1" ht="15.75" x14ac:dyDescent="0.25">
      <c r="A6" s="260" t="s">
        <v>1271</v>
      </c>
    </row>
    <row r="7" spans="1:1" ht="15.75" x14ac:dyDescent="0.25">
      <c r="A7" s="261"/>
    </row>
    <row r="8" spans="1:1" ht="15.75" x14ac:dyDescent="0.25">
      <c r="A8" s="260" t="s">
        <v>1270</v>
      </c>
    </row>
    <row r="9" spans="1:1" ht="15.75" x14ac:dyDescent="0.25">
      <c r="A9" s="261"/>
    </row>
    <row r="10" spans="1:1" ht="15.75" x14ac:dyDescent="0.25">
      <c r="A10" s="260" t="s">
        <v>1269</v>
      </c>
    </row>
  </sheetData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</sheetPr>
  <dimension ref="A1:E45"/>
  <sheetViews>
    <sheetView zoomScale="85" zoomScaleNormal="85" workbookViewId="0">
      <pane xSplit="1" ySplit="1" topLeftCell="B2" activePane="bottomRight" state="frozen"/>
      <selection activeCell="H31" sqref="H31"/>
      <selection pane="topRight" activeCell="H31" sqref="H31"/>
      <selection pane="bottomLeft" activeCell="H31" sqref="H31"/>
      <selection pane="bottomRight" activeCell="B2" sqref="B2"/>
    </sheetView>
  </sheetViews>
  <sheetFormatPr defaultColWidth="17.5703125" defaultRowHeight="12.75" x14ac:dyDescent="0.2"/>
  <cols>
    <col min="1" max="1" width="12.5703125" style="263" bestFit="1" customWidth="1"/>
    <col min="2" max="2" width="11.7109375" style="259" customWidth="1"/>
    <col min="3" max="4" width="17.5703125" style="259"/>
    <col min="5" max="5" width="11.42578125" style="259" customWidth="1"/>
    <col min="6" max="16384" width="17.5703125" style="259"/>
  </cols>
  <sheetData>
    <row r="1" spans="1:5" x14ac:dyDescent="0.2">
      <c r="A1" s="266" t="s">
        <v>1288</v>
      </c>
      <c r="B1" s="265" t="s">
        <v>1287</v>
      </c>
      <c r="C1" s="265" t="s">
        <v>1286</v>
      </c>
      <c r="D1" s="265" t="s">
        <v>1285</v>
      </c>
      <c r="E1" s="265" t="s">
        <v>1284</v>
      </c>
    </row>
    <row r="2" spans="1:5" x14ac:dyDescent="0.2">
      <c r="A2" s="263">
        <v>1001</v>
      </c>
      <c r="B2" s="264">
        <v>40548</v>
      </c>
      <c r="C2" s="259" t="s">
        <v>1278</v>
      </c>
      <c r="D2" s="259" t="s">
        <v>1279</v>
      </c>
      <c r="E2" s="259">
        <v>526.83000000000004</v>
      </c>
    </row>
    <row r="3" spans="1:5" x14ac:dyDescent="0.2">
      <c r="A3" s="263">
        <v>1002</v>
      </c>
      <c r="B3" s="264">
        <v>40552</v>
      </c>
      <c r="C3" s="259" t="s">
        <v>1283</v>
      </c>
      <c r="D3" s="259" t="s">
        <v>1277</v>
      </c>
      <c r="E3" s="259">
        <v>383.55</v>
      </c>
    </row>
    <row r="4" spans="1:5" x14ac:dyDescent="0.2">
      <c r="A4" s="263">
        <v>1003</v>
      </c>
      <c r="B4" s="264">
        <v>40568</v>
      </c>
      <c r="C4" s="259" t="s">
        <v>935</v>
      </c>
      <c r="D4" s="259" t="s">
        <v>1282</v>
      </c>
      <c r="E4" s="259">
        <v>260.27999999999997</v>
      </c>
    </row>
    <row r="5" spans="1:5" x14ac:dyDescent="0.2">
      <c r="A5" s="263">
        <v>1004</v>
      </c>
      <c r="B5" s="264">
        <v>40573.415045560687</v>
      </c>
      <c r="C5" s="259" t="s">
        <v>1280</v>
      </c>
      <c r="D5" s="259" t="s">
        <v>1281</v>
      </c>
      <c r="E5" s="259">
        <v>422.88</v>
      </c>
    </row>
    <row r="6" spans="1:5" x14ac:dyDescent="0.2">
      <c r="A6" s="263">
        <v>1005</v>
      </c>
      <c r="B6" s="264">
        <v>40574.727647831118</v>
      </c>
      <c r="C6" s="259" t="s">
        <v>1276</v>
      </c>
      <c r="D6" s="259" t="s">
        <v>1275</v>
      </c>
      <c r="E6" s="259">
        <v>504.32</v>
      </c>
    </row>
    <row r="7" spans="1:5" x14ac:dyDescent="0.2">
      <c r="A7" s="263">
        <v>1006</v>
      </c>
      <c r="B7" s="264">
        <v>40592.143745098911</v>
      </c>
      <c r="C7" s="259" t="s">
        <v>1274</v>
      </c>
      <c r="D7" s="259" t="s">
        <v>1273</v>
      </c>
      <c r="E7" s="259">
        <v>542.6</v>
      </c>
    </row>
    <row r="8" spans="1:5" x14ac:dyDescent="0.2">
      <c r="A8" s="263">
        <v>1007</v>
      </c>
      <c r="B8" s="264">
        <v>40599.41499538783</v>
      </c>
      <c r="C8" s="259" t="s">
        <v>1278</v>
      </c>
      <c r="D8" s="259" t="s">
        <v>1273</v>
      </c>
      <c r="E8" s="259">
        <v>11.95</v>
      </c>
    </row>
    <row r="9" spans="1:5" x14ac:dyDescent="0.2">
      <c r="A9" s="263">
        <v>1008</v>
      </c>
      <c r="B9" s="264">
        <v>40602.839535525214</v>
      </c>
      <c r="C9" s="259" t="s">
        <v>935</v>
      </c>
      <c r="D9" s="259" t="s">
        <v>1281</v>
      </c>
      <c r="E9" s="259">
        <v>801.7</v>
      </c>
    </row>
    <row r="10" spans="1:5" x14ac:dyDescent="0.2">
      <c r="A10" s="263">
        <v>1009</v>
      </c>
      <c r="B10" s="264">
        <v>40612.591752353313</v>
      </c>
      <c r="C10" s="259" t="s">
        <v>935</v>
      </c>
      <c r="D10" s="259" t="s">
        <v>1282</v>
      </c>
      <c r="E10" s="259">
        <v>926.78</v>
      </c>
    </row>
    <row r="11" spans="1:5" x14ac:dyDescent="0.2">
      <c r="A11" s="263">
        <v>1010</v>
      </c>
      <c r="B11" s="264">
        <v>40620.213957358872</v>
      </c>
      <c r="C11" s="259" t="s">
        <v>1274</v>
      </c>
      <c r="D11" s="259" t="s">
        <v>1279</v>
      </c>
      <c r="E11" s="259">
        <v>826.03</v>
      </c>
    </row>
    <row r="12" spans="1:5" x14ac:dyDescent="0.2">
      <c r="A12" s="263">
        <v>1011</v>
      </c>
      <c r="B12" s="264">
        <v>40626.137602121824</v>
      </c>
      <c r="C12" s="259" t="s">
        <v>1276</v>
      </c>
      <c r="D12" s="259" t="s">
        <v>1277</v>
      </c>
      <c r="E12" s="259">
        <v>635.07000000000005</v>
      </c>
    </row>
    <row r="13" spans="1:5" x14ac:dyDescent="0.2">
      <c r="A13" s="263">
        <v>1012</v>
      </c>
      <c r="B13" s="264">
        <v>40636.004996374744</v>
      </c>
      <c r="C13" s="259" t="s">
        <v>1283</v>
      </c>
      <c r="D13" s="259" t="s">
        <v>1277</v>
      </c>
      <c r="E13" s="259">
        <v>148.63999999999999</v>
      </c>
    </row>
    <row r="14" spans="1:5" x14ac:dyDescent="0.2">
      <c r="A14" s="263">
        <v>1013</v>
      </c>
      <c r="B14" s="264">
        <v>40648.114518478134</v>
      </c>
      <c r="C14" s="259" t="s">
        <v>1283</v>
      </c>
      <c r="D14" s="259" t="s">
        <v>1275</v>
      </c>
      <c r="E14" s="259">
        <v>602</v>
      </c>
    </row>
    <row r="15" spans="1:5" x14ac:dyDescent="0.2">
      <c r="A15" s="263">
        <v>1014</v>
      </c>
      <c r="B15" s="264">
        <v>40655.984532084636</v>
      </c>
      <c r="C15" s="259" t="s">
        <v>1274</v>
      </c>
      <c r="D15" s="259" t="s">
        <v>1273</v>
      </c>
      <c r="E15" s="259">
        <v>643.17999999999995</v>
      </c>
    </row>
    <row r="16" spans="1:5" x14ac:dyDescent="0.2">
      <c r="A16" s="263">
        <v>1015</v>
      </c>
      <c r="B16" s="264">
        <v>40665.770518528341</v>
      </c>
      <c r="C16" s="259" t="s">
        <v>1278</v>
      </c>
      <c r="D16" s="259" t="s">
        <v>1281</v>
      </c>
      <c r="E16" s="259">
        <v>963.72</v>
      </c>
    </row>
    <row r="17" spans="1:5" x14ac:dyDescent="0.2">
      <c r="A17" s="263">
        <v>1016</v>
      </c>
      <c r="B17" s="264">
        <v>40674.074451339628</v>
      </c>
      <c r="C17" s="259" t="s">
        <v>935</v>
      </c>
      <c r="D17" s="259" t="s">
        <v>1282</v>
      </c>
      <c r="E17" s="259">
        <v>673.54</v>
      </c>
    </row>
    <row r="18" spans="1:5" x14ac:dyDescent="0.2">
      <c r="A18" s="263">
        <v>1017</v>
      </c>
      <c r="B18" s="264">
        <v>40680.077676181885</v>
      </c>
      <c r="C18" s="259" t="s">
        <v>1280</v>
      </c>
      <c r="D18" s="259" t="s">
        <v>1277</v>
      </c>
      <c r="E18" s="259">
        <v>153.72</v>
      </c>
    </row>
    <row r="19" spans="1:5" x14ac:dyDescent="0.2">
      <c r="A19" s="263">
        <v>1018</v>
      </c>
      <c r="B19" s="264">
        <v>40688.149700737609</v>
      </c>
      <c r="C19" s="259" t="s">
        <v>1280</v>
      </c>
      <c r="D19" s="259" t="s">
        <v>1279</v>
      </c>
      <c r="E19" s="259">
        <v>241.17</v>
      </c>
    </row>
    <row r="20" spans="1:5" x14ac:dyDescent="0.2">
      <c r="A20" s="263">
        <v>1019</v>
      </c>
      <c r="B20" s="264">
        <v>40698.774626909377</v>
      </c>
      <c r="C20" s="259" t="s">
        <v>1280</v>
      </c>
      <c r="D20" s="259" t="s">
        <v>1275</v>
      </c>
      <c r="E20" s="259">
        <v>473.59</v>
      </c>
    </row>
    <row r="21" spans="1:5" x14ac:dyDescent="0.2">
      <c r="A21" s="263">
        <v>1020</v>
      </c>
      <c r="B21" s="264">
        <v>40702.763858832725</v>
      </c>
      <c r="C21" s="259" t="s">
        <v>1274</v>
      </c>
      <c r="D21" s="259" t="s">
        <v>1273</v>
      </c>
      <c r="E21" s="259">
        <v>528.95000000000005</v>
      </c>
    </row>
    <row r="22" spans="1:5" x14ac:dyDescent="0.2">
      <c r="A22" s="263">
        <v>1021</v>
      </c>
      <c r="B22" s="264">
        <v>40717.39615523009</v>
      </c>
      <c r="C22" s="259" t="s">
        <v>1283</v>
      </c>
      <c r="D22" s="259" t="s">
        <v>1281</v>
      </c>
      <c r="E22" s="259">
        <v>59.81</v>
      </c>
    </row>
    <row r="23" spans="1:5" x14ac:dyDescent="0.2">
      <c r="A23" s="263">
        <v>1022</v>
      </c>
      <c r="B23" s="264">
        <v>40719.076332535085</v>
      </c>
      <c r="C23" s="259" t="s">
        <v>1283</v>
      </c>
      <c r="D23" s="259" t="s">
        <v>1273</v>
      </c>
      <c r="E23" s="259">
        <v>860.73</v>
      </c>
    </row>
    <row r="24" spans="1:5" x14ac:dyDescent="0.2">
      <c r="A24" s="263">
        <v>1023</v>
      </c>
      <c r="B24" s="264">
        <v>40730.642572805773</v>
      </c>
      <c r="C24" s="259" t="s">
        <v>935</v>
      </c>
      <c r="D24" s="259" t="s">
        <v>1279</v>
      </c>
      <c r="E24" s="259">
        <v>317.02999999999997</v>
      </c>
    </row>
    <row r="25" spans="1:5" x14ac:dyDescent="0.2">
      <c r="A25" s="263">
        <v>1024</v>
      </c>
      <c r="B25" s="264">
        <v>40739.597734579744</v>
      </c>
      <c r="C25" s="259" t="s">
        <v>1278</v>
      </c>
      <c r="D25" s="259" t="s">
        <v>1277</v>
      </c>
      <c r="E25" s="259">
        <v>903.92</v>
      </c>
    </row>
    <row r="26" spans="1:5" x14ac:dyDescent="0.2">
      <c r="A26" s="263">
        <v>1025</v>
      </c>
      <c r="B26" s="264">
        <v>40739.093037414656</v>
      </c>
      <c r="C26" s="259" t="s">
        <v>1276</v>
      </c>
      <c r="D26" s="259" t="s">
        <v>1275</v>
      </c>
      <c r="E26" s="259">
        <v>530.49</v>
      </c>
    </row>
    <row r="27" spans="1:5" x14ac:dyDescent="0.2">
      <c r="A27" s="263">
        <v>1026</v>
      </c>
      <c r="B27" s="264">
        <v>40759.742550141214</v>
      </c>
      <c r="C27" s="259" t="s">
        <v>935</v>
      </c>
      <c r="D27" s="259" t="s">
        <v>1275</v>
      </c>
      <c r="E27" s="259">
        <v>347.31</v>
      </c>
    </row>
    <row r="28" spans="1:5" x14ac:dyDescent="0.2">
      <c r="A28" s="263">
        <v>1027</v>
      </c>
      <c r="B28" s="264">
        <v>40766.590367528253</v>
      </c>
      <c r="C28" s="259" t="s">
        <v>1274</v>
      </c>
      <c r="D28" s="259" t="s">
        <v>1273</v>
      </c>
      <c r="E28" s="259">
        <v>917.68</v>
      </c>
    </row>
    <row r="29" spans="1:5" x14ac:dyDescent="0.2">
      <c r="A29" s="263">
        <v>1028</v>
      </c>
      <c r="B29" s="264">
        <v>40763.181016787727</v>
      </c>
      <c r="C29" s="259" t="s">
        <v>1276</v>
      </c>
      <c r="D29" s="259" t="s">
        <v>1273</v>
      </c>
      <c r="E29" s="259">
        <v>953.56</v>
      </c>
    </row>
    <row r="30" spans="1:5" x14ac:dyDescent="0.2">
      <c r="A30" s="263">
        <v>1029</v>
      </c>
      <c r="B30" s="264">
        <v>40785.925623823328</v>
      </c>
      <c r="C30" s="259" t="s">
        <v>1283</v>
      </c>
      <c r="D30" s="259" t="s">
        <v>1281</v>
      </c>
      <c r="E30" s="259">
        <v>752.98</v>
      </c>
    </row>
    <row r="31" spans="1:5" x14ac:dyDescent="0.2">
      <c r="A31" s="263">
        <v>1030</v>
      </c>
      <c r="B31" s="264">
        <v>40795.373602737229</v>
      </c>
      <c r="C31" s="259" t="s">
        <v>1283</v>
      </c>
      <c r="D31" s="259" t="s">
        <v>1282</v>
      </c>
      <c r="E31" s="259">
        <v>538.47</v>
      </c>
    </row>
    <row r="32" spans="1:5" x14ac:dyDescent="0.2">
      <c r="A32" s="263">
        <v>1031</v>
      </c>
      <c r="B32" s="264">
        <v>40791.004219164744</v>
      </c>
      <c r="C32" s="259" t="s">
        <v>1274</v>
      </c>
      <c r="D32" s="259" t="s">
        <v>1279</v>
      </c>
      <c r="E32" s="259">
        <v>995.28</v>
      </c>
    </row>
    <row r="33" spans="1:5" x14ac:dyDescent="0.2">
      <c r="A33" s="263">
        <v>1032</v>
      </c>
      <c r="B33" s="264">
        <v>40815.038234937136</v>
      </c>
      <c r="C33" s="259" t="s">
        <v>1278</v>
      </c>
      <c r="D33" s="259" t="s">
        <v>1277</v>
      </c>
      <c r="E33" s="259">
        <v>680.03</v>
      </c>
    </row>
    <row r="34" spans="1:5" x14ac:dyDescent="0.2">
      <c r="A34" s="263">
        <v>1033</v>
      </c>
      <c r="B34" s="264">
        <v>40821.67525817058</v>
      </c>
      <c r="C34" s="259" t="s">
        <v>935</v>
      </c>
      <c r="D34" s="259" t="s">
        <v>1277</v>
      </c>
      <c r="E34" s="259">
        <v>556.97</v>
      </c>
    </row>
    <row r="35" spans="1:5" x14ac:dyDescent="0.2">
      <c r="A35" s="263">
        <v>1034</v>
      </c>
      <c r="B35" s="264">
        <v>40815.547752848215</v>
      </c>
      <c r="C35" s="259" t="s">
        <v>1280</v>
      </c>
      <c r="D35" s="259" t="s">
        <v>1275</v>
      </c>
      <c r="E35" s="259">
        <v>431.81</v>
      </c>
    </row>
    <row r="36" spans="1:5" x14ac:dyDescent="0.2">
      <c r="A36" s="263">
        <v>1035</v>
      </c>
      <c r="B36" s="264">
        <v>40843.454645300808</v>
      </c>
      <c r="C36" s="259" t="s">
        <v>1280</v>
      </c>
      <c r="D36" s="259" t="s">
        <v>1273</v>
      </c>
      <c r="E36" s="259">
        <v>454.1</v>
      </c>
    </row>
    <row r="37" spans="1:5" x14ac:dyDescent="0.2">
      <c r="A37" s="263">
        <v>1036</v>
      </c>
      <c r="B37" s="264">
        <v>40847.010894345593</v>
      </c>
      <c r="C37" s="259" t="s">
        <v>1280</v>
      </c>
      <c r="D37" s="259" t="s">
        <v>1281</v>
      </c>
      <c r="E37" s="259">
        <v>481.3</v>
      </c>
    </row>
    <row r="38" spans="1:5" x14ac:dyDescent="0.2">
      <c r="A38" s="263">
        <v>1037</v>
      </c>
      <c r="B38" s="264">
        <v>40842.450914254579</v>
      </c>
      <c r="C38" s="259" t="s">
        <v>935</v>
      </c>
      <c r="D38" s="259" t="s">
        <v>1281</v>
      </c>
      <c r="E38" s="259">
        <v>418.54</v>
      </c>
    </row>
    <row r="39" spans="1:5" x14ac:dyDescent="0.2">
      <c r="A39" s="263">
        <v>1038</v>
      </c>
      <c r="B39" s="264">
        <v>40869.754510901039</v>
      </c>
      <c r="C39" s="259" t="s">
        <v>1280</v>
      </c>
      <c r="D39" s="259" t="s">
        <v>1273</v>
      </c>
      <c r="E39" s="259">
        <v>168.85</v>
      </c>
    </row>
    <row r="40" spans="1:5" x14ac:dyDescent="0.2">
      <c r="A40" s="263">
        <v>1039</v>
      </c>
      <c r="B40" s="264">
        <v>40875.113406699224</v>
      </c>
      <c r="C40" s="259" t="s">
        <v>1276</v>
      </c>
      <c r="D40" s="259" t="s">
        <v>1279</v>
      </c>
      <c r="E40" s="259">
        <v>340.94</v>
      </c>
    </row>
    <row r="41" spans="1:5" x14ac:dyDescent="0.2">
      <c r="A41" s="263">
        <v>1040</v>
      </c>
      <c r="B41" s="264">
        <v>40865.768721104105</v>
      </c>
      <c r="C41" s="259" t="s">
        <v>1278</v>
      </c>
      <c r="D41" s="259" t="s">
        <v>1273</v>
      </c>
      <c r="E41" s="259">
        <v>423.91</v>
      </c>
    </row>
    <row r="42" spans="1:5" x14ac:dyDescent="0.2">
      <c r="A42" s="263">
        <v>1041</v>
      </c>
      <c r="B42" s="264">
        <v>40890.20912973283</v>
      </c>
      <c r="C42" s="259" t="s">
        <v>1278</v>
      </c>
      <c r="D42" s="259" t="s">
        <v>1277</v>
      </c>
      <c r="E42" s="259">
        <v>706.31</v>
      </c>
    </row>
    <row r="43" spans="1:5" x14ac:dyDescent="0.2">
      <c r="A43" s="263">
        <v>1042</v>
      </c>
      <c r="B43" s="264">
        <v>40897.818356434051</v>
      </c>
      <c r="C43" s="259" t="s">
        <v>1276</v>
      </c>
      <c r="D43" s="259" t="s">
        <v>1275</v>
      </c>
      <c r="E43" s="259">
        <v>961.41</v>
      </c>
    </row>
    <row r="44" spans="1:5" x14ac:dyDescent="0.2">
      <c r="A44" s="263">
        <v>1043</v>
      </c>
      <c r="B44" s="264">
        <v>40895.11424163144</v>
      </c>
      <c r="C44" s="259" t="s">
        <v>935</v>
      </c>
      <c r="D44" s="259" t="s">
        <v>1275</v>
      </c>
      <c r="E44" s="259">
        <v>729.07</v>
      </c>
    </row>
    <row r="45" spans="1:5" x14ac:dyDescent="0.2">
      <c r="A45" s="263">
        <v>1044</v>
      </c>
      <c r="B45" s="264">
        <v>40914.114090236122</v>
      </c>
      <c r="C45" s="259" t="s">
        <v>1274</v>
      </c>
      <c r="D45" s="259" t="s">
        <v>1273</v>
      </c>
      <c r="E45" s="259">
        <v>642.84</v>
      </c>
    </row>
  </sheetData>
  <dataValidations count="2">
    <dataValidation type="list" allowBlank="1" showInputMessage="1" showErrorMessage="1" sqref="D2:D40 D42:D45">
      <formula1>"OfficeSupplies,Paper,Computers,Consultants,Uniforms,Repairs"</formula1>
    </dataValidation>
    <dataValidation type="list" allowBlank="1" showInputMessage="1" showErrorMessage="1" sqref="C2:C40 C42:C45">
      <formula1>"Police,Fire,PublicWorks,HR,Finance,Planning"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filterMode="1">
    <tabColor theme="6" tint="0.39997558519241921"/>
  </sheetPr>
  <dimension ref="A2:I18"/>
  <sheetViews>
    <sheetView showGridLines="0" zoomScale="120" workbookViewId="0">
      <selection activeCell="H31" sqref="H31"/>
    </sheetView>
  </sheetViews>
  <sheetFormatPr defaultRowHeight="15" x14ac:dyDescent="0.3"/>
  <cols>
    <col min="6" max="6" width="10.7109375" customWidth="1"/>
  </cols>
  <sheetData>
    <row r="2" spans="1:9" x14ac:dyDescent="0.3">
      <c r="B2" s="5" t="s">
        <v>868</v>
      </c>
    </row>
    <row r="3" spans="1:9" x14ac:dyDescent="0.3">
      <c r="B3" s="5"/>
    </row>
    <row r="4" spans="1:9" x14ac:dyDescent="0.3">
      <c r="A4" s="134"/>
      <c r="B4" s="5" t="s">
        <v>871</v>
      </c>
    </row>
    <row r="5" spans="1:9" x14ac:dyDescent="0.3">
      <c r="A5" s="134"/>
      <c r="B5" t="s">
        <v>90</v>
      </c>
    </row>
    <row r="6" spans="1:9" x14ac:dyDescent="0.3">
      <c r="A6" s="134"/>
    </row>
    <row r="7" spans="1:9" x14ac:dyDescent="0.3">
      <c r="B7" t="s">
        <v>91</v>
      </c>
    </row>
    <row r="8" spans="1:9" x14ac:dyDescent="0.3">
      <c r="B8" t="s">
        <v>890</v>
      </c>
    </row>
    <row r="12" spans="1:9" x14ac:dyDescent="0.3">
      <c r="B12" t="s">
        <v>870</v>
      </c>
      <c r="G12" t="s">
        <v>872</v>
      </c>
      <c r="H12" t="s">
        <v>873</v>
      </c>
      <c r="I12" t="s">
        <v>874</v>
      </c>
    </row>
    <row r="13" spans="1:9" x14ac:dyDescent="0.3">
      <c r="B13" t="s">
        <v>869</v>
      </c>
      <c r="G13" s="57">
        <v>86</v>
      </c>
      <c r="H13" s="57">
        <v>4</v>
      </c>
      <c r="I13" s="7">
        <v>0.28007152414713943</v>
      </c>
    </row>
    <row r="14" spans="1:9" x14ac:dyDescent="0.3">
      <c r="B14" t="s">
        <v>889</v>
      </c>
      <c r="G14" s="57">
        <v>76</v>
      </c>
      <c r="H14" s="57">
        <v>7</v>
      </c>
      <c r="I14" s="7">
        <v>0.38747055764939109</v>
      </c>
    </row>
    <row r="15" spans="1:9" x14ac:dyDescent="0.3">
      <c r="G15" s="57">
        <v>9</v>
      </c>
      <c r="H15" s="57">
        <v>3</v>
      </c>
      <c r="I15" s="7">
        <v>0.41898367825031912</v>
      </c>
    </row>
    <row r="16" spans="1:9" x14ac:dyDescent="0.3">
      <c r="G16" s="57">
        <v>23</v>
      </c>
      <c r="H16" s="57">
        <v>2</v>
      </c>
      <c r="I16" s="7">
        <v>0.63053339663500108</v>
      </c>
    </row>
    <row r="17" spans="7:9" hidden="1" x14ac:dyDescent="0.3">
      <c r="G17" s="57">
        <v>0</v>
      </c>
      <c r="H17" s="57" t="s">
        <v>875</v>
      </c>
      <c r="I17" s="7">
        <v>0.41925448770288209</v>
      </c>
    </row>
    <row r="18" spans="7:9" x14ac:dyDescent="0.3">
      <c r="G18" s="57">
        <v>52</v>
      </c>
      <c r="H18" s="57">
        <v>6</v>
      </c>
      <c r="I18" s="7">
        <v>0.42621570614963566</v>
      </c>
    </row>
  </sheetData>
  <autoFilter ref="G12:I18">
    <filterColumn colId="0">
      <customFilters and="1">
        <customFilter operator="greaterThan" val="1"/>
      </customFilters>
    </filterColumn>
  </autoFilter>
  <phoneticPr fontId="5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F381"/>
  <sheetViews>
    <sheetView showGridLines="0" tabSelected="1" workbookViewId="0">
      <selection activeCell="H31" sqref="H31"/>
    </sheetView>
  </sheetViews>
  <sheetFormatPr defaultRowHeight="15" x14ac:dyDescent="0.3"/>
  <cols>
    <col min="2" max="2" width="24.42578125" customWidth="1"/>
    <col min="3" max="3" width="43.140625" bestFit="1" customWidth="1"/>
    <col min="4" max="4" width="9" customWidth="1"/>
    <col min="5" max="6" width="12.5703125" customWidth="1"/>
    <col min="12" max="12" width="11.28515625" bestFit="1" customWidth="1"/>
  </cols>
  <sheetData>
    <row r="1" spans="1:6" s="23" customFormat="1" ht="21.75" x14ac:dyDescent="0.45">
      <c r="A1" s="78" t="s">
        <v>868</v>
      </c>
      <c r="B1" s="25"/>
      <c r="C1" s="25"/>
      <c r="E1" s="24"/>
    </row>
    <row r="3" spans="1:6" ht="21.75" x14ac:dyDescent="0.45">
      <c r="B3" s="43" t="s">
        <v>888</v>
      </c>
    </row>
    <row r="5" spans="1:6" x14ac:dyDescent="0.3">
      <c r="B5" s="5" t="s">
        <v>887</v>
      </c>
    </row>
    <row r="6" spans="1:6" ht="15" customHeight="1" x14ac:dyDescent="0.3">
      <c r="B6" s="58" t="s">
        <v>876</v>
      </c>
      <c r="C6" s="59" t="s">
        <v>877</v>
      </c>
    </row>
    <row r="7" spans="1:6" ht="15" customHeight="1" x14ac:dyDescent="0.3">
      <c r="B7" s="343" t="s">
        <v>878</v>
      </c>
      <c r="C7" s="61" t="s">
        <v>879</v>
      </c>
    </row>
    <row r="8" spans="1:6" ht="15" customHeight="1" thickBot="1" x14ac:dyDescent="0.35">
      <c r="B8" s="344"/>
      <c r="C8" s="60" t="s">
        <v>880</v>
      </c>
    </row>
    <row r="9" spans="1:6" ht="15" customHeight="1" x14ac:dyDescent="0.3">
      <c r="B9" s="345" t="s">
        <v>881</v>
      </c>
      <c r="C9" s="61" t="s">
        <v>882</v>
      </c>
    </row>
    <row r="10" spans="1:6" ht="15" customHeight="1" thickBot="1" x14ac:dyDescent="0.35">
      <c r="B10" s="344"/>
      <c r="C10" s="60" t="s">
        <v>883</v>
      </c>
    </row>
    <row r="11" spans="1:6" ht="15" customHeight="1" x14ac:dyDescent="0.3">
      <c r="B11" s="345" t="s">
        <v>884</v>
      </c>
      <c r="C11" s="61" t="s">
        <v>885</v>
      </c>
    </row>
    <row r="12" spans="1:6" ht="15" customHeight="1" thickBot="1" x14ac:dyDescent="0.35">
      <c r="B12" s="344"/>
      <c r="C12" s="60" t="s">
        <v>886</v>
      </c>
    </row>
    <row r="16" spans="1:6" x14ac:dyDescent="0.3">
      <c r="B16" s="36" t="s">
        <v>394</v>
      </c>
      <c r="C16" s="36" t="s">
        <v>395</v>
      </c>
      <c r="D16" s="36" t="s">
        <v>396</v>
      </c>
      <c r="E16" s="36" t="s">
        <v>796</v>
      </c>
      <c r="F16" s="36" t="s">
        <v>797</v>
      </c>
    </row>
    <row r="17" spans="2:6" x14ac:dyDescent="0.3">
      <c r="B17" s="38" t="s">
        <v>649</v>
      </c>
      <c r="C17" s="38" t="s">
        <v>407</v>
      </c>
      <c r="D17" s="38" t="s">
        <v>639</v>
      </c>
      <c r="E17" s="38">
        <v>0</v>
      </c>
      <c r="F17" s="38">
        <v>0</v>
      </c>
    </row>
    <row r="18" spans="2:6" x14ac:dyDescent="0.3">
      <c r="B18" s="38" t="s">
        <v>631</v>
      </c>
      <c r="C18" s="38" t="s">
        <v>398</v>
      </c>
      <c r="D18" s="38" t="s">
        <v>627</v>
      </c>
      <c r="E18" s="38">
        <v>5</v>
      </c>
      <c r="F18" s="38">
        <v>62</v>
      </c>
    </row>
    <row r="19" spans="2:6" x14ac:dyDescent="0.3">
      <c r="B19" s="38" t="s">
        <v>708</v>
      </c>
      <c r="C19" s="38" t="s">
        <v>407</v>
      </c>
      <c r="D19" s="38" t="s">
        <v>702</v>
      </c>
      <c r="E19" s="38">
        <v>30</v>
      </c>
      <c r="F19" s="38">
        <v>258</v>
      </c>
    </row>
    <row r="20" spans="2:6" x14ac:dyDescent="0.3">
      <c r="B20" s="38" t="s">
        <v>458</v>
      </c>
      <c r="C20" s="38" t="s">
        <v>407</v>
      </c>
      <c r="D20" s="38" t="s">
        <v>448</v>
      </c>
      <c r="E20" s="38">
        <v>9</v>
      </c>
      <c r="F20" s="38">
        <v>111</v>
      </c>
    </row>
    <row r="21" spans="2:6" x14ac:dyDescent="0.3">
      <c r="B21" s="38" t="s">
        <v>792</v>
      </c>
      <c r="C21" s="38" t="s">
        <v>407</v>
      </c>
      <c r="D21" s="38" t="s">
        <v>785</v>
      </c>
      <c r="E21" s="38">
        <v>0</v>
      </c>
      <c r="F21" s="38">
        <v>0</v>
      </c>
    </row>
    <row r="22" spans="2:6" x14ac:dyDescent="0.3">
      <c r="B22" s="38" t="s">
        <v>695</v>
      </c>
      <c r="C22" s="38" t="s">
        <v>398</v>
      </c>
      <c r="D22" s="38" t="s">
        <v>690</v>
      </c>
      <c r="E22" s="38">
        <v>6</v>
      </c>
      <c r="F22" s="38">
        <v>50</v>
      </c>
    </row>
    <row r="23" spans="2:6" x14ac:dyDescent="0.3">
      <c r="B23" s="38" t="s">
        <v>468</v>
      </c>
      <c r="C23" s="38" t="s">
        <v>398</v>
      </c>
      <c r="D23" s="38" t="s">
        <v>462</v>
      </c>
      <c r="E23" s="38">
        <v>4</v>
      </c>
      <c r="F23" s="38">
        <v>46</v>
      </c>
    </row>
    <row r="24" spans="2:6" x14ac:dyDescent="0.3">
      <c r="B24" s="38" t="s">
        <v>597</v>
      </c>
      <c r="C24" s="38" t="s">
        <v>407</v>
      </c>
      <c r="D24" s="38" t="s">
        <v>588</v>
      </c>
      <c r="E24" s="38">
        <v>0</v>
      </c>
      <c r="F24" s="38">
        <v>0</v>
      </c>
    </row>
    <row r="25" spans="2:6" x14ac:dyDescent="0.3">
      <c r="B25" s="38" t="s">
        <v>431</v>
      </c>
      <c r="C25" s="38" t="s">
        <v>407</v>
      </c>
      <c r="D25" s="38" t="s">
        <v>425</v>
      </c>
      <c r="E25" s="38">
        <v>17</v>
      </c>
      <c r="F25" s="38">
        <v>189</v>
      </c>
    </row>
    <row r="26" spans="2:6" x14ac:dyDescent="0.3">
      <c r="B26" s="38" t="s">
        <v>779</v>
      </c>
      <c r="C26" s="38" t="s">
        <v>407</v>
      </c>
      <c r="D26" s="38" t="s">
        <v>774</v>
      </c>
      <c r="E26" s="38">
        <v>52</v>
      </c>
      <c r="F26" s="38">
        <v>713</v>
      </c>
    </row>
    <row r="27" spans="2:6" x14ac:dyDescent="0.3">
      <c r="B27" s="38" t="s">
        <v>661</v>
      </c>
      <c r="C27" s="38" t="s">
        <v>407</v>
      </c>
      <c r="D27" s="38" t="s">
        <v>651</v>
      </c>
      <c r="E27" s="38">
        <v>0</v>
      </c>
      <c r="F27" s="38">
        <v>0</v>
      </c>
    </row>
    <row r="28" spans="2:6" x14ac:dyDescent="0.3">
      <c r="B28" s="38"/>
      <c r="C28" s="38"/>
      <c r="D28" s="38"/>
      <c r="E28" s="38"/>
      <c r="F28" s="38"/>
    </row>
    <row r="29" spans="2:6" x14ac:dyDescent="0.3">
      <c r="B29" s="38" t="s">
        <v>536</v>
      </c>
      <c r="C29" s="38" t="s">
        <v>398</v>
      </c>
      <c r="D29" s="38" t="s">
        <v>535</v>
      </c>
      <c r="E29" s="38">
        <v>68</v>
      </c>
      <c r="F29" s="38">
        <v>973</v>
      </c>
    </row>
    <row r="30" spans="2:6" x14ac:dyDescent="0.3">
      <c r="B30" s="38" t="s">
        <v>657</v>
      </c>
      <c r="C30" s="38" t="s">
        <v>398</v>
      </c>
      <c r="D30" s="38" t="s">
        <v>651</v>
      </c>
      <c r="E30" s="38">
        <v>11</v>
      </c>
      <c r="F30" s="38">
        <v>84</v>
      </c>
    </row>
    <row r="31" spans="2:6" x14ac:dyDescent="0.3">
      <c r="B31" s="38" t="s">
        <v>704</v>
      </c>
      <c r="C31" s="38" t="s">
        <v>398</v>
      </c>
      <c r="D31" s="38" t="s">
        <v>702</v>
      </c>
      <c r="E31" s="38">
        <v>50</v>
      </c>
      <c r="F31" s="38">
        <v>754</v>
      </c>
    </row>
    <row r="32" spans="2:6" x14ac:dyDescent="0.3">
      <c r="B32" s="38" t="s">
        <v>638</v>
      </c>
      <c r="C32" s="38" t="s">
        <v>398</v>
      </c>
      <c r="D32" s="38" t="s">
        <v>639</v>
      </c>
      <c r="E32" s="38">
        <v>90</v>
      </c>
      <c r="F32" s="38">
        <v>1324</v>
      </c>
    </row>
    <row r="33" spans="2:6" x14ac:dyDescent="0.3">
      <c r="B33" s="38" t="s">
        <v>794</v>
      </c>
      <c r="C33" s="38" t="s">
        <v>407</v>
      </c>
      <c r="D33" s="38" t="s">
        <v>785</v>
      </c>
      <c r="E33" s="38">
        <v>0</v>
      </c>
      <c r="F33" s="38">
        <v>0</v>
      </c>
    </row>
    <row r="34" spans="2:6" x14ac:dyDescent="0.3">
      <c r="B34" s="38" t="s">
        <v>508</v>
      </c>
      <c r="C34" s="38" t="s">
        <v>407</v>
      </c>
      <c r="D34" s="38" t="s">
        <v>499</v>
      </c>
      <c r="E34" s="38">
        <v>0</v>
      </c>
      <c r="F34" s="38">
        <v>0</v>
      </c>
    </row>
    <row r="35" spans="2:6" x14ac:dyDescent="0.3">
      <c r="B35" s="38" t="s">
        <v>786</v>
      </c>
      <c r="C35" s="38" t="s">
        <v>398</v>
      </c>
      <c r="D35" s="38" t="s">
        <v>785</v>
      </c>
      <c r="E35" s="38">
        <v>74</v>
      </c>
      <c r="F35" s="38">
        <v>1083</v>
      </c>
    </row>
    <row r="36" spans="2:6" x14ac:dyDescent="0.3">
      <c r="B36" s="38" t="s">
        <v>430</v>
      </c>
      <c r="C36" s="38" t="s">
        <v>407</v>
      </c>
      <c r="D36" s="38" t="s">
        <v>425</v>
      </c>
      <c r="E36" s="38">
        <v>28</v>
      </c>
      <c r="F36" s="38">
        <v>245</v>
      </c>
    </row>
    <row r="37" spans="2:6" x14ac:dyDescent="0.3">
      <c r="B37" s="38" t="s">
        <v>429</v>
      </c>
      <c r="C37" s="38" t="s">
        <v>398</v>
      </c>
      <c r="D37" s="38" t="s">
        <v>425</v>
      </c>
      <c r="E37" s="38">
        <v>0</v>
      </c>
      <c r="F37" s="38">
        <v>0</v>
      </c>
    </row>
    <row r="38" spans="2:6" x14ac:dyDescent="0.3">
      <c r="B38" s="38" t="s">
        <v>701</v>
      </c>
      <c r="C38" s="38" t="s">
        <v>398</v>
      </c>
      <c r="D38" s="38" t="s">
        <v>702</v>
      </c>
      <c r="E38" s="38">
        <v>66</v>
      </c>
      <c r="F38" s="38">
        <v>977</v>
      </c>
    </row>
    <row r="39" spans="2:6" x14ac:dyDescent="0.3">
      <c r="B39" s="38" t="s">
        <v>654</v>
      </c>
      <c r="C39" s="38" t="s">
        <v>398</v>
      </c>
      <c r="D39" s="38" t="s">
        <v>651</v>
      </c>
      <c r="E39" s="38">
        <v>19</v>
      </c>
      <c r="F39" s="38">
        <v>215</v>
      </c>
    </row>
    <row r="40" spans="2:6" x14ac:dyDescent="0.3">
      <c r="B40" s="38" t="s">
        <v>481</v>
      </c>
      <c r="C40" s="38" t="s">
        <v>407</v>
      </c>
      <c r="D40" s="38" t="s">
        <v>475</v>
      </c>
      <c r="E40" s="38">
        <v>78</v>
      </c>
      <c r="F40" s="38">
        <v>879</v>
      </c>
    </row>
    <row r="41" spans="2:6" x14ac:dyDescent="0.3">
      <c r="B41" s="38" t="s">
        <v>488</v>
      </c>
      <c r="C41" s="38" t="s">
        <v>398</v>
      </c>
      <c r="D41" s="38" t="s">
        <v>487</v>
      </c>
      <c r="E41" s="38">
        <v>68</v>
      </c>
      <c r="F41" s="38">
        <v>897</v>
      </c>
    </row>
    <row r="42" spans="2:6" x14ac:dyDescent="0.3">
      <c r="B42" s="38" t="s">
        <v>450</v>
      </c>
      <c r="C42" s="38" t="s">
        <v>398</v>
      </c>
      <c r="D42" s="38" t="s">
        <v>448</v>
      </c>
      <c r="E42" s="38">
        <v>44</v>
      </c>
      <c r="F42" s="38">
        <v>468</v>
      </c>
    </row>
    <row r="43" spans="2:6" x14ac:dyDescent="0.3">
      <c r="B43" s="38" t="s">
        <v>677</v>
      </c>
      <c r="C43" s="38" t="s">
        <v>398</v>
      </c>
      <c r="D43" s="38" t="s">
        <v>678</v>
      </c>
      <c r="E43" s="38">
        <v>65</v>
      </c>
      <c r="F43" s="38">
        <v>1056</v>
      </c>
    </row>
    <row r="44" spans="2:6" x14ac:dyDescent="0.3">
      <c r="B44" s="38" t="s">
        <v>580</v>
      </c>
      <c r="C44" s="38" t="s">
        <v>398</v>
      </c>
      <c r="D44" s="38" t="s">
        <v>574</v>
      </c>
      <c r="E44" s="38">
        <v>2</v>
      </c>
      <c r="F44" s="38">
        <v>17</v>
      </c>
    </row>
    <row r="45" spans="2:6" x14ac:dyDescent="0.3">
      <c r="B45" s="38"/>
      <c r="C45" s="38"/>
      <c r="D45" s="38"/>
      <c r="E45" s="38"/>
      <c r="F45" s="38"/>
    </row>
    <row r="46" spans="2:6" x14ac:dyDescent="0.3">
      <c r="B46" s="38" t="s">
        <v>546</v>
      </c>
      <c r="C46" s="38" t="s">
        <v>407</v>
      </c>
      <c r="D46" s="38" t="s">
        <v>535</v>
      </c>
      <c r="E46" s="38">
        <v>0</v>
      </c>
      <c r="F46" s="38">
        <v>0</v>
      </c>
    </row>
    <row r="47" spans="2:6" x14ac:dyDescent="0.3">
      <c r="B47" s="38" t="s">
        <v>422</v>
      </c>
      <c r="C47" s="38" t="s">
        <v>407</v>
      </c>
      <c r="D47" s="38" t="s">
        <v>414</v>
      </c>
      <c r="E47" s="38">
        <v>0</v>
      </c>
      <c r="F47" s="38">
        <v>0</v>
      </c>
    </row>
    <row r="48" spans="2:6" x14ac:dyDescent="0.3">
      <c r="B48" s="38" t="s">
        <v>634</v>
      </c>
      <c r="C48" s="38" t="s">
        <v>407</v>
      </c>
      <c r="D48" s="38" t="s">
        <v>627</v>
      </c>
      <c r="E48" s="38">
        <v>4</v>
      </c>
      <c r="F48" s="38">
        <v>33</v>
      </c>
    </row>
    <row r="49" spans="2:6" x14ac:dyDescent="0.3">
      <c r="B49" s="38" t="s">
        <v>660</v>
      </c>
      <c r="C49" s="38" t="s">
        <v>407</v>
      </c>
      <c r="D49" s="38" t="s">
        <v>651</v>
      </c>
      <c r="E49" s="38">
        <v>5</v>
      </c>
      <c r="F49" s="38">
        <v>48</v>
      </c>
    </row>
    <row r="50" spans="2:6" x14ac:dyDescent="0.3">
      <c r="B50" s="38" t="s">
        <v>419</v>
      </c>
      <c r="C50" s="38" t="s">
        <v>407</v>
      </c>
      <c r="D50" s="38" t="s">
        <v>414</v>
      </c>
      <c r="E50" s="38">
        <v>43</v>
      </c>
      <c r="F50" s="38">
        <v>411</v>
      </c>
    </row>
    <row r="51" spans="2:6" x14ac:dyDescent="0.3">
      <c r="B51" s="38" t="s">
        <v>635</v>
      </c>
      <c r="C51" s="38" t="s">
        <v>407</v>
      </c>
      <c r="D51" s="38" t="s">
        <v>627</v>
      </c>
      <c r="E51" s="38">
        <v>0</v>
      </c>
      <c r="F51" s="38">
        <v>0</v>
      </c>
    </row>
    <row r="52" spans="2:6" x14ac:dyDescent="0.3">
      <c r="B52" s="38" t="s">
        <v>568</v>
      </c>
      <c r="C52" s="38" t="s">
        <v>407</v>
      </c>
      <c r="D52" s="38" t="s">
        <v>561</v>
      </c>
      <c r="E52" s="38">
        <v>39</v>
      </c>
      <c r="F52" s="38">
        <v>357</v>
      </c>
    </row>
    <row r="53" spans="2:6" x14ac:dyDescent="0.3">
      <c r="B53" s="38" t="s">
        <v>648</v>
      </c>
      <c r="C53" s="38" t="s">
        <v>407</v>
      </c>
      <c r="D53" s="38" t="s">
        <v>639</v>
      </c>
      <c r="E53" s="38">
        <v>0</v>
      </c>
      <c r="F53" s="38">
        <v>0</v>
      </c>
    </row>
    <row r="54" spans="2:6" x14ac:dyDescent="0.3">
      <c r="B54" s="38" t="s">
        <v>728</v>
      </c>
      <c r="C54" s="38" t="s">
        <v>398</v>
      </c>
      <c r="D54" s="38" t="s">
        <v>726</v>
      </c>
      <c r="E54" s="38">
        <v>25</v>
      </c>
      <c r="F54" s="38">
        <v>371</v>
      </c>
    </row>
    <row r="55" spans="2:6" x14ac:dyDescent="0.3">
      <c r="B55" s="38" t="s">
        <v>564</v>
      </c>
      <c r="C55" s="38" t="s">
        <v>398</v>
      </c>
      <c r="D55" s="38" t="s">
        <v>561</v>
      </c>
      <c r="E55" s="38">
        <v>26</v>
      </c>
      <c r="F55" s="38">
        <v>384</v>
      </c>
    </row>
    <row r="56" spans="2:6" x14ac:dyDescent="0.3">
      <c r="B56" s="38" t="s">
        <v>412</v>
      </c>
      <c r="C56" s="38" t="s">
        <v>407</v>
      </c>
      <c r="D56" s="38" t="s">
        <v>399</v>
      </c>
      <c r="E56" s="38">
        <v>2</v>
      </c>
      <c r="F56" s="38">
        <v>21</v>
      </c>
    </row>
    <row r="57" spans="2:6" x14ac:dyDescent="0.3">
      <c r="B57" s="38" t="s">
        <v>503</v>
      </c>
      <c r="C57" s="38" t="s">
        <v>398</v>
      </c>
      <c r="D57" s="38" t="s">
        <v>499</v>
      </c>
      <c r="E57" s="38">
        <v>4</v>
      </c>
      <c r="F57" s="38">
        <v>29</v>
      </c>
    </row>
    <row r="58" spans="2:6" x14ac:dyDescent="0.3">
      <c r="B58" s="38" t="s">
        <v>645</v>
      </c>
      <c r="C58" s="38" t="s">
        <v>407</v>
      </c>
      <c r="D58" s="38" t="s">
        <v>639</v>
      </c>
      <c r="E58" s="38">
        <v>22</v>
      </c>
      <c r="F58" s="38">
        <v>229</v>
      </c>
    </row>
    <row r="59" spans="2:6" x14ac:dyDescent="0.3">
      <c r="B59" s="38" t="s">
        <v>421</v>
      </c>
      <c r="C59" s="38" t="s">
        <v>407</v>
      </c>
      <c r="D59" s="38" t="s">
        <v>414</v>
      </c>
      <c r="E59" s="38">
        <v>9</v>
      </c>
      <c r="F59" s="38">
        <v>84</v>
      </c>
    </row>
    <row r="60" spans="2:6" x14ac:dyDescent="0.3">
      <c r="B60" s="38" t="s">
        <v>463</v>
      </c>
      <c r="C60" s="38" t="s">
        <v>398</v>
      </c>
      <c r="D60" s="38" t="s">
        <v>462</v>
      </c>
      <c r="E60" s="38">
        <v>51</v>
      </c>
      <c r="F60" s="38">
        <v>645</v>
      </c>
    </row>
    <row r="61" spans="2:6" x14ac:dyDescent="0.3">
      <c r="B61" s="38" t="s">
        <v>465</v>
      </c>
      <c r="C61" s="38" t="s">
        <v>398</v>
      </c>
      <c r="D61" s="38" t="s">
        <v>462</v>
      </c>
      <c r="E61" s="38">
        <v>35</v>
      </c>
      <c r="F61" s="38">
        <v>439</v>
      </c>
    </row>
    <row r="62" spans="2:6" x14ac:dyDescent="0.3">
      <c r="B62" s="38" t="s">
        <v>729</v>
      </c>
      <c r="C62" s="38" t="s">
        <v>398</v>
      </c>
      <c r="D62" s="38" t="s">
        <v>726</v>
      </c>
      <c r="E62" s="38">
        <v>28</v>
      </c>
      <c r="F62" s="38">
        <v>324</v>
      </c>
    </row>
    <row r="63" spans="2:6" x14ac:dyDescent="0.3">
      <c r="B63" s="38" t="s">
        <v>555</v>
      </c>
      <c r="C63" s="38" t="s">
        <v>407</v>
      </c>
      <c r="D63" s="38" t="s">
        <v>548</v>
      </c>
      <c r="E63" s="38">
        <v>28</v>
      </c>
      <c r="F63" s="38">
        <v>298</v>
      </c>
    </row>
    <row r="64" spans="2:6" x14ac:dyDescent="0.3">
      <c r="B64" s="38" t="s">
        <v>760</v>
      </c>
      <c r="C64" s="38" t="s">
        <v>407</v>
      </c>
      <c r="D64" s="38" t="s">
        <v>751</v>
      </c>
      <c r="E64" s="38">
        <v>0</v>
      </c>
      <c r="F64" s="38">
        <v>0</v>
      </c>
    </row>
    <row r="65" spans="2:6" x14ac:dyDescent="0.3">
      <c r="B65" s="38" t="s">
        <v>632</v>
      </c>
      <c r="C65" s="38" t="s">
        <v>398</v>
      </c>
      <c r="D65" s="38" t="s">
        <v>627</v>
      </c>
      <c r="E65" s="38">
        <v>3</v>
      </c>
      <c r="F65" s="38">
        <v>10</v>
      </c>
    </row>
    <row r="66" spans="2:6" x14ac:dyDescent="0.3">
      <c r="B66" s="38" t="s">
        <v>723</v>
      </c>
      <c r="C66" s="38" t="s">
        <v>407</v>
      </c>
      <c r="D66" s="38" t="s">
        <v>713</v>
      </c>
      <c r="E66" s="38">
        <v>0</v>
      </c>
      <c r="F66" s="38">
        <v>0</v>
      </c>
    </row>
    <row r="67" spans="2:6" x14ac:dyDescent="0.3">
      <c r="B67" s="38" t="s">
        <v>416</v>
      </c>
      <c r="C67" s="38" t="s">
        <v>398</v>
      </c>
      <c r="D67" s="38" t="s">
        <v>414</v>
      </c>
      <c r="E67" s="38">
        <v>38</v>
      </c>
      <c r="F67" s="38">
        <v>436</v>
      </c>
    </row>
    <row r="68" spans="2:6" x14ac:dyDescent="0.3">
      <c r="B68" s="38" t="s">
        <v>447</v>
      </c>
      <c r="C68" s="38" t="s">
        <v>398</v>
      </c>
      <c r="D68" s="38" t="s">
        <v>448</v>
      </c>
      <c r="E68" s="38">
        <v>68</v>
      </c>
      <c r="F68" s="38">
        <v>935</v>
      </c>
    </row>
    <row r="69" spans="2:6" x14ac:dyDescent="0.3">
      <c r="B69" s="38" t="s">
        <v>442</v>
      </c>
      <c r="C69" s="38" t="s">
        <v>407</v>
      </c>
      <c r="D69" s="38" t="s">
        <v>436</v>
      </c>
      <c r="E69" s="38">
        <v>18</v>
      </c>
      <c r="F69" s="38">
        <v>190</v>
      </c>
    </row>
    <row r="70" spans="2:6" x14ac:dyDescent="0.3">
      <c r="B70" s="38" t="s">
        <v>629</v>
      </c>
      <c r="C70" s="38" t="s">
        <v>398</v>
      </c>
      <c r="D70" s="38" t="s">
        <v>627</v>
      </c>
      <c r="E70" s="38">
        <v>63</v>
      </c>
      <c r="F70" s="38">
        <v>986</v>
      </c>
    </row>
    <row r="71" spans="2:6" x14ac:dyDescent="0.3">
      <c r="B71" s="38" t="s">
        <v>703</v>
      </c>
      <c r="C71" s="38" t="s">
        <v>398</v>
      </c>
      <c r="D71" s="38" t="s">
        <v>702</v>
      </c>
      <c r="E71" s="38">
        <v>67</v>
      </c>
      <c r="F71" s="38">
        <v>827</v>
      </c>
    </row>
    <row r="72" spans="2:6" x14ac:dyDescent="0.3">
      <c r="B72" s="38" t="s">
        <v>700</v>
      </c>
      <c r="C72" s="38" t="s">
        <v>407</v>
      </c>
      <c r="D72" s="38" t="s">
        <v>690</v>
      </c>
      <c r="E72" s="38">
        <v>0</v>
      </c>
      <c r="F72" s="38">
        <v>0</v>
      </c>
    </row>
    <row r="73" spans="2:6" x14ac:dyDescent="0.3">
      <c r="B73" s="38" t="s">
        <v>777</v>
      </c>
      <c r="C73" s="38" t="s">
        <v>398</v>
      </c>
      <c r="D73" s="38" t="s">
        <v>774</v>
      </c>
      <c r="E73" s="38">
        <v>28</v>
      </c>
      <c r="F73" s="38">
        <v>390</v>
      </c>
    </row>
    <row r="74" spans="2:6" x14ac:dyDescent="0.3">
      <c r="B74" s="38" t="s">
        <v>624</v>
      </c>
      <c r="C74" s="38" t="s">
        <v>407</v>
      </c>
      <c r="D74" s="38" t="s">
        <v>614</v>
      </c>
      <c r="E74" s="38">
        <v>6</v>
      </c>
      <c r="F74" s="38">
        <v>87</v>
      </c>
    </row>
    <row r="75" spans="2:6" x14ac:dyDescent="0.3">
      <c r="B75" s="38" t="s">
        <v>410</v>
      </c>
      <c r="C75" s="38" t="s">
        <v>407</v>
      </c>
      <c r="D75" s="38" t="s">
        <v>399</v>
      </c>
      <c r="E75" s="38">
        <v>6</v>
      </c>
      <c r="F75" s="38">
        <v>58</v>
      </c>
    </row>
    <row r="76" spans="2:6" x14ac:dyDescent="0.3">
      <c r="B76" s="38" t="s">
        <v>472</v>
      </c>
      <c r="C76" s="38" t="s">
        <v>407</v>
      </c>
      <c r="D76" s="38" t="s">
        <v>462</v>
      </c>
      <c r="E76" s="38">
        <v>0</v>
      </c>
      <c r="F76" s="38">
        <v>0</v>
      </c>
    </row>
    <row r="77" spans="2:6" x14ac:dyDescent="0.3">
      <c r="B77" s="38" t="s">
        <v>592</v>
      </c>
      <c r="C77" s="38" t="s">
        <v>398</v>
      </c>
      <c r="D77" s="38" t="s">
        <v>588</v>
      </c>
      <c r="E77" s="38">
        <v>12</v>
      </c>
      <c r="F77" s="38">
        <v>158</v>
      </c>
    </row>
    <row r="78" spans="2:6" x14ac:dyDescent="0.3">
      <c r="B78" s="38" t="s">
        <v>787</v>
      </c>
      <c r="C78" s="38" t="s">
        <v>398</v>
      </c>
      <c r="D78" s="38" t="s">
        <v>785</v>
      </c>
      <c r="E78" s="38">
        <v>46</v>
      </c>
      <c r="F78" s="38">
        <v>537</v>
      </c>
    </row>
    <row r="79" spans="2:6" x14ac:dyDescent="0.3">
      <c r="B79" s="38" t="s">
        <v>658</v>
      </c>
      <c r="C79" s="38" t="s">
        <v>407</v>
      </c>
      <c r="D79" s="38" t="s">
        <v>651</v>
      </c>
      <c r="E79" s="38">
        <v>37</v>
      </c>
      <c r="F79" s="38">
        <v>331</v>
      </c>
    </row>
    <row r="80" spans="2:6" x14ac:dyDescent="0.3">
      <c r="B80" s="38" t="s">
        <v>473</v>
      </c>
      <c r="C80" s="38" t="s">
        <v>407</v>
      </c>
      <c r="D80" s="38" t="s">
        <v>462</v>
      </c>
      <c r="E80" s="38">
        <v>0</v>
      </c>
      <c r="F80" s="38">
        <v>0</v>
      </c>
    </row>
    <row r="81" spans="2:6" x14ac:dyDescent="0.3">
      <c r="B81" s="38" t="s">
        <v>625</v>
      </c>
      <c r="C81" s="38" t="s">
        <v>407</v>
      </c>
      <c r="D81" s="38" t="s">
        <v>614</v>
      </c>
      <c r="E81" s="38">
        <v>0</v>
      </c>
      <c r="F81" s="38">
        <v>0</v>
      </c>
    </row>
    <row r="82" spans="2:6" x14ac:dyDescent="0.3">
      <c r="B82" s="38" t="s">
        <v>673</v>
      </c>
      <c r="C82" s="38" t="s">
        <v>407</v>
      </c>
      <c r="D82" s="38" t="s">
        <v>664</v>
      </c>
      <c r="E82" s="38">
        <v>14</v>
      </c>
      <c r="F82" s="38">
        <v>119</v>
      </c>
    </row>
    <row r="83" spans="2:6" x14ac:dyDescent="0.3">
      <c r="B83" s="38" t="s">
        <v>567</v>
      </c>
      <c r="C83" s="38" t="s">
        <v>398</v>
      </c>
      <c r="D83" s="38" t="s">
        <v>561</v>
      </c>
      <c r="E83" s="38">
        <v>0</v>
      </c>
      <c r="F83" s="38">
        <v>10</v>
      </c>
    </row>
    <row r="84" spans="2:6" x14ac:dyDescent="0.3">
      <c r="B84" s="38"/>
      <c r="C84" s="38"/>
      <c r="D84" s="38"/>
      <c r="E84" s="38"/>
      <c r="F84" s="38"/>
    </row>
    <row r="85" spans="2:6" x14ac:dyDescent="0.3">
      <c r="B85" s="38" t="s">
        <v>712</v>
      </c>
      <c r="C85" s="38" t="s">
        <v>398</v>
      </c>
      <c r="D85" s="38" t="s">
        <v>713</v>
      </c>
      <c r="E85" s="38">
        <v>89</v>
      </c>
      <c r="F85" s="38">
        <v>1328</v>
      </c>
    </row>
    <row r="86" spans="2:6" x14ac:dyDescent="0.3">
      <c r="B86" s="38" t="s">
        <v>505</v>
      </c>
      <c r="C86" s="38" t="s">
        <v>407</v>
      </c>
      <c r="D86" s="38" t="s">
        <v>499</v>
      </c>
      <c r="E86" s="38">
        <v>25</v>
      </c>
      <c r="F86" s="38">
        <v>255</v>
      </c>
    </row>
    <row r="87" spans="2:6" x14ac:dyDescent="0.3">
      <c r="B87" s="38" t="s">
        <v>747</v>
      </c>
      <c r="C87" s="38" t="s">
        <v>407</v>
      </c>
      <c r="D87" s="38" t="s">
        <v>739</v>
      </c>
      <c r="E87" s="38">
        <v>4</v>
      </c>
      <c r="F87" s="38">
        <v>38</v>
      </c>
    </row>
    <row r="88" spans="2:6" x14ac:dyDescent="0.3">
      <c r="B88" s="38" t="s">
        <v>788</v>
      </c>
      <c r="C88" s="38" t="s">
        <v>398</v>
      </c>
      <c r="D88" s="38" t="s">
        <v>785</v>
      </c>
      <c r="E88" s="38">
        <v>18</v>
      </c>
      <c r="F88" s="38">
        <v>245</v>
      </c>
    </row>
    <row r="89" spans="2:6" x14ac:dyDescent="0.3">
      <c r="B89" s="38" t="s">
        <v>665</v>
      </c>
      <c r="C89" s="38" t="s">
        <v>398</v>
      </c>
      <c r="D89" s="38" t="s">
        <v>664</v>
      </c>
      <c r="E89" s="38">
        <v>69</v>
      </c>
      <c r="F89" s="38">
        <v>762</v>
      </c>
    </row>
    <row r="90" spans="2:6" x14ac:dyDescent="0.3">
      <c r="B90" s="38" t="s">
        <v>530</v>
      </c>
      <c r="C90" s="38" t="s">
        <v>407</v>
      </c>
      <c r="D90" s="38" t="s">
        <v>524</v>
      </c>
      <c r="E90" s="38">
        <v>28</v>
      </c>
      <c r="F90" s="38">
        <v>278</v>
      </c>
    </row>
    <row r="91" spans="2:6" x14ac:dyDescent="0.3">
      <c r="B91" s="38" t="s">
        <v>587</v>
      </c>
      <c r="C91" s="38" t="s">
        <v>398</v>
      </c>
      <c r="D91" s="38" t="s">
        <v>588</v>
      </c>
      <c r="E91" s="38">
        <v>74</v>
      </c>
      <c r="F91" s="38">
        <v>1038</v>
      </c>
    </row>
    <row r="92" spans="2:6" x14ac:dyDescent="0.3">
      <c r="B92" s="38" t="s">
        <v>620</v>
      </c>
      <c r="C92" s="38" t="s">
        <v>398</v>
      </c>
      <c r="D92" s="38" t="s">
        <v>614</v>
      </c>
      <c r="E92" s="38">
        <v>2</v>
      </c>
      <c r="F92" s="38">
        <v>18</v>
      </c>
    </row>
    <row r="93" spans="2:6" x14ac:dyDescent="0.3">
      <c r="B93" s="38" t="s">
        <v>406</v>
      </c>
      <c r="C93" s="38" t="s">
        <v>407</v>
      </c>
      <c r="D93" s="38" t="s">
        <v>399</v>
      </c>
      <c r="E93" s="38">
        <v>45</v>
      </c>
      <c r="F93" s="38">
        <v>408</v>
      </c>
    </row>
    <row r="94" spans="2:6" x14ac:dyDescent="0.3">
      <c r="B94" s="38" t="s">
        <v>490</v>
      </c>
      <c r="C94" s="38" t="s">
        <v>398</v>
      </c>
      <c r="D94" s="38" t="s">
        <v>487</v>
      </c>
      <c r="E94" s="38">
        <v>12</v>
      </c>
      <c r="F94" s="38">
        <v>144</v>
      </c>
    </row>
    <row r="95" spans="2:6" x14ac:dyDescent="0.3">
      <c r="B95" s="38" t="s">
        <v>717</v>
      </c>
      <c r="C95" s="38" t="s">
        <v>398</v>
      </c>
      <c r="D95" s="38" t="s">
        <v>713</v>
      </c>
      <c r="E95" s="38">
        <v>17</v>
      </c>
      <c r="F95" s="38">
        <v>184</v>
      </c>
    </row>
    <row r="96" spans="2:6" x14ac:dyDescent="0.3">
      <c r="B96" s="38" t="s">
        <v>607</v>
      </c>
      <c r="C96" s="38" t="s">
        <v>398</v>
      </c>
      <c r="D96" s="38" t="s">
        <v>601</v>
      </c>
      <c r="E96" s="38">
        <v>18</v>
      </c>
      <c r="F96" s="38">
        <v>205</v>
      </c>
    </row>
    <row r="97" spans="2:6" x14ac:dyDescent="0.3">
      <c r="B97" s="38" t="s">
        <v>544</v>
      </c>
      <c r="C97" s="38" t="s">
        <v>407</v>
      </c>
      <c r="D97" s="38" t="s">
        <v>535</v>
      </c>
      <c r="E97" s="38">
        <v>1</v>
      </c>
      <c r="F97" s="38">
        <v>12</v>
      </c>
    </row>
    <row r="98" spans="2:6" x14ac:dyDescent="0.3">
      <c r="B98" s="38" t="s">
        <v>570</v>
      </c>
      <c r="C98" s="38" t="s">
        <v>407</v>
      </c>
      <c r="D98" s="38" t="s">
        <v>561</v>
      </c>
      <c r="E98" s="38">
        <v>14</v>
      </c>
      <c r="F98" s="38">
        <v>146</v>
      </c>
    </row>
    <row r="99" spans="2:6" x14ac:dyDescent="0.3">
      <c r="B99" s="38" t="s">
        <v>764</v>
      </c>
      <c r="C99" s="38" t="s">
        <v>398</v>
      </c>
      <c r="D99" s="38" t="s">
        <v>762</v>
      </c>
      <c r="E99" s="38">
        <v>38</v>
      </c>
      <c r="F99" s="38">
        <v>469</v>
      </c>
    </row>
    <row r="100" spans="2:6" x14ac:dyDescent="0.3">
      <c r="B100" s="38" t="s">
        <v>719</v>
      </c>
      <c r="C100" s="38" t="s">
        <v>398</v>
      </c>
      <c r="D100" s="38" t="s">
        <v>713</v>
      </c>
      <c r="E100" s="38">
        <v>2</v>
      </c>
      <c r="F100" s="38">
        <v>17</v>
      </c>
    </row>
    <row r="101" spans="2:6" x14ac:dyDescent="0.3">
      <c r="B101" s="38" t="s">
        <v>484</v>
      </c>
      <c r="C101" s="38" t="s">
        <v>407</v>
      </c>
      <c r="D101" s="38" t="s">
        <v>475</v>
      </c>
      <c r="E101" s="38">
        <v>0</v>
      </c>
      <c r="F101" s="38">
        <v>0</v>
      </c>
    </row>
    <row r="102" spans="2:6" x14ac:dyDescent="0.3">
      <c r="B102" s="38" t="s">
        <v>641</v>
      </c>
      <c r="C102" s="38" t="s">
        <v>398</v>
      </c>
      <c r="D102" s="38" t="s">
        <v>639</v>
      </c>
      <c r="E102" s="38">
        <v>29</v>
      </c>
      <c r="F102" s="38">
        <v>467</v>
      </c>
    </row>
    <row r="103" spans="2:6" x14ac:dyDescent="0.3">
      <c r="B103" s="38" t="s">
        <v>619</v>
      </c>
      <c r="C103" s="38" t="s">
        <v>398</v>
      </c>
      <c r="D103" s="38" t="s">
        <v>614</v>
      </c>
      <c r="E103" s="38">
        <v>16</v>
      </c>
      <c r="F103" s="38">
        <v>149</v>
      </c>
    </row>
    <row r="104" spans="2:6" x14ac:dyDescent="0.3">
      <c r="B104" s="38" t="s">
        <v>519</v>
      </c>
      <c r="C104" s="38" t="s">
        <v>407</v>
      </c>
      <c r="D104" s="38" t="s">
        <v>510</v>
      </c>
      <c r="E104" s="38">
        <v>23</v>
      </c>
      <c r="F104" s="38">
        <v>315</v>
      </c>
    </row>
    <row r="105" spans="2:6" x14ac:dyDescent="0.3">
      <c r="B105" s="38" t="s">
        <v>417</v>
      </c>
      <c r="C105" s="38" t="s">
        <v>398</v>
      </c>
      <c r="D105" s="38" t="s">
        <v>414</v>
      </c>
      <c r="E105" s="38">
        <v>32</v>
      </c>
      <c r="F105" s="38">
        <v>393</v>
      </c>
    </row>
    <row r="106" spans="2:6" x14ac:dyDescent="0.3">
      <c r="B106" s="38" t="s">
        <v>656</v>
      </c>
      <c r="C106" s="38" t="s">
        <v>398</v>
      </c>
      <c r="D106" s="38" t="s">
        <v>651</v>
      </c>
      <c r="E106" s="38">
        <v>7</v>
      </c>
      <c r="F106" s="38">
        <v>101</v>
      </c>
    </row>
    <row r="107" spans="2:6" x14ac:dyDescent="0.3">
      <c r="B107" s="38" t="s">
        <v>606</v>
      </c>
      <c r="C107" s="38" t="s">
        <v>398</v>
      </c>
      <c r="D107" s="38" t="s">
        <v>601</v>
      </c>
      <c r="E107" s="38">
        <v>19</v>
      </c>
      <c r="F107" s="38">
        <v>241</v>
      </c>
    </row>
    <row r="108" spans="2:6" x14ac:dyDescent="0.3">
      <c r="B108" s="38" t="s">
        <v>633</v>
      </c>
      <c r="C108" s="38" t="s">
        <v>407</v>
      </c>
      <c r="D108" s="38" t="s">
        <v>627</v>
      </c>
      <c r="E108" s="38">
        <v>41</v>
      </c>
      <c r="F108" s="38">
        <v>535</v>
      </c>
    </row>
    <row r="109" spans="2:6" x14ac:dyDescent="0.3">
      <c r="B109" s="38" t="s">
        <v>697</v>
      </c>
      <c r="C109" s="38" t="s">
        <v>407</v>
      </c>
      <c r="D109" s="38" t="s">
        <v>690</v>
      </c>
      <c r="E109" s="38">
        <v>16</v>
      </c>
      <c r="F109" s="38">
        <v>142</v>
      </c>
    </row>
    <row r="110" spans="2:6" x14ac:dyDescent="0.3">
      <c r="B110" s="38" t="s">
        <v>749</v>
      </c>
      <c r="C110" s="38" t="s">
        <v>407</v>
      </c>
      <c r="D110" s="38" t="s">
        <v>739</v>
      </c>
      <c r="E110" s="38">
        <v>0</v>
      </c>
      <c r="F110" s="38">
        <v>0</v>
      </c>
    </row>
    <row r="111" spans="2:6" x14ac:dyDescent="0.3">
      <c r="B111" s="38" t="s">
        <v>440</v>
      </c>
      <c r="C111" s="38" t="s">
        <v>398</v>
      </c>
      <c r="D111" s="38" t="s">
        <v>436</v>
      </c>
      <c r="E111" s="38">
        <v>17</v>
      </c>
      <c r="F111" s="38">
        <v>192</v>
      </c>
    </row>
    <row r="112" spans="2:6" x14ac:dyDescent="0.3">
      <c r="B112" s="38" t="s">
        <v>569</v>
      </c>
      <c r="C112" s="38" t="s">
        <v>407</v>
      </c>
      <c r="D112" s="38" t="s">
        <v>561</v>
      </c>
      <c r="E112" s="38">
        <v>27</v>
      </c>
      <c r="F112" s="38">
        <v>293</v>
      </c>
    </row>
    <row r="113" spans="2:6" x14ac:dyDescent="0.3">
      <c r="B113" s="38" t="s">
        <v>770</v>
      </c>
      <c r="C113" s="38" t="s">
        <v>407</v>
      </c>
      <c r="D113" s="38" t="s">
        <v>762</v>
      </c>
      <c r="E113" s="38">
        <v>11</v>
      </c>
      <c r="F113" s="38">
        <v>99</v>
      </c>
    </row>
    <row r="114" spans="2:6" x14ac:dyDescent="0.3">
      <c r="B114" s="38" t="s">
        <v>593</v>
      </c>
      <c r="C114" s="38" t="s">
        <v>398</v>
      </c>
      <c r="D114" s="38" t="s">
        <v>588</v>
      </c>
      <c r="E114" s="38">
        <v>3</v>
      </c>
      <c r="F114" s="38">
        <v>38</v>
      </c>
    </row>
    <row r="115" spans="2:6" x14ac:dyDescent="0.3">
      <c r="B115" s="38" t="s">
        <v>485</v>
      </c>
      <c r="C115" s="38" t="s">
        <v>407</v>
      </c>
      <c r="D115" s="38" t="s">
        <v>475</v>
      </c>
      <c r="E115" s="38">
        <v>0</v>
      </c>
      <c r="F115" s="38">
        <v>0</v>
      </c>
    </row>
    <row r="116" spans="2:6" x14ac:dyDescent="0.3">
      <c r="B116" s="38" t="s">
        <v>605</v>
      </c>
      <c r="C116" s="38" t="s">
        <v>398</v>
      </c>
      <c r="D116" s="38" t="s">
        <v>601</v>
      </c>
      <c r="E116" s="38">
        <v>24</v>
      </c>
      <c r="F116" s="38">
        <v>276</v>
      </c>
    </row>
    <row r="117" spans="2:6" x14ac:dyDescent="0.3">
      <c r="B117" s="38" t="s">
        <v>680</v>
      </c>
      <c r="C117" s="38" t="s">
        <v>398</v>
      </c>
      <c r="D117" s="38" t="s">
        <v>678</v>
      </c>
      <c r="E117" s="38">
        <v>48</v>
      </c>
      <c r="F117" s="38">
        <v>597</v>
      </c>
    </row>
    <row r="118" spans="2:6" x14ac:dyDescent="0.3">
      <c r="B118" s="38" t="s">
        <v>545</v>
      </c>
      <c r="C118" s="38" t="s">
        <v>407</v>
      </c>
      <c r="D118" s="38" t="s">
        <v>535</v>
      </c>
      <c r="E118" s="38">
        <v>0</v>
      </c>
      <c r="F118" s="38">
        <v>0</v>
      </c>
    </row>
    <row r="119" spans="2:6" x14ac:dyDescent="0.3">
      <c r="B119" s="38" t="s">
        <v>771</v>
      </c>
      <c r="C119" s="38" t="s">
        <v>407</v>
      </c>
      <c r="D119" s="38" t="s">
        <v>762</v>
      </c>
      <c r="E119" s="38">
        <v>4</v>
      </c>
      <c r="F119" s="38">
        <v>39</v>
      </c>
    </row>
    <row r="120" spans="2:6" x14ac:dyDescent="0.3">
      <c r="B120" s="38" t="s">
        <v>735</v>
      </c>
      <c r="C120" s="38" t="s">
        <v>407</v>
      </c>
      <c r="D120" s="38" t="s">
        <v>726</v>
      </c>
      <c r="E120" s="38">
        <v>6</v>
      </c>
      <c r="F120" s="38">
        <v>37</v>
      </c>
    </row>
    <row r="121" spans="2:6" x14ac:dyDescent="0.3">
      <c r="B121" s="38" t="s">
        <v>401</v>
      </c>
      <c r="C121" s="38" t="s">
        <v>398</v>
      </c>
      <c r="D121" s="38" t="s">
        <v>399</v>
      </c>
      <c r="E121" s="38">
        <v>28</v>
      </c>
      <c r="F121" s="38">
        <v>355</v>
      </c>
    </row>
    <row r="122" spans="2:6" x14ac:dyDescent="0.3">
      <c r="B122" s="38" t="s">
        <v>461</v>
      </c>
      <c r="C122" s="38" t="s">
        <v>398</v>
      </c>
      <c r="D122" s="38" t="s">
        <v>462</v>
      </c>
      <c r="E122" s="38">
        <v>83</v>
      </c>
      <c r="F122" s="38">
        <v>1232</v>
      </c>
    </row>
    <row r="123" spans="2:6" x14ac:dyDescent="0.3">
      <c r="B123" s="38" t="s">
        <v>579</v>
      </c>
      <c r="C123" s="38" t="s">
        <v>398</v>
      </c>
      <c r="D123" s="38" t="s">
        <v>574</v>
      </c>
      <c r="E123" s="38">
        <v>3</v>
      </c>
      <c r="F123" s="38">
        <v>30</v>
      </c>
    </row>
    <row r="124" spans="2:6" x14ac:dyDescent="0.3">
      <c r="B124" s="38" t="s">
        <v>444</v>
      </c>
      <c r="C124" s="38" t="s">
        <v>407</v>
      </c>
      <c r="D124" s="38" t="s">
        <v>436</v>
      </c>
      <c r="E124" s="38">
        <v>0</v>
      </c>
      <c r="F124" s="38">
        <v>0</v>
      </c>
    </row>
    <row r="125" spans="2:6" x14ac:dyDescent="0.3">
      <c r="B125" s="38" t="s">
        <v>433</v>
      </c>
      <c r="C125" s="38" t="s">
        <v>407</v>
      </c>
      <c r="D125" s="38" t="s">
        <v>425</v>
      </c>
      <c r="E125" s="38">
        <v>4</v>
      </c>
      <c r="F125" s="38">
        <v>40</v>
      </c>
    </row>
    <row r="126" spans="2:6" x14ac:dyDescent="0.3">
      <c r="B126" s="38" t="s">
        <v>590</v>
      </c>
      <c r="C126" s="38" t="s">
        <v>398</v>
      </c>
      <c r="D126" s="38" t="s">
        <v>588</v>
      </c>
      <c r="E126" s="38">
        <v>42</v>
      </c>
      <c r="F126" s="38">
        <v>510</v>
      </c>
    </row>
    <row r="127" spans="2:6" x14ac:dyDescent="0.3">
      <c r="B127" s="38" t="s">
        <v>562</v>
      </c>
      <c r="C127" s="38" t="s">
        <v>398</v>
      </c>
      <c r="D127" s="38" t="s">
        <v>561</v>
      </c>
      <c r="E127" s="38">
        <v>63</v>
      </c>
      <c r="F127" s="38">
        <v>933</v>
      </c>
    </row>
    <row r="128" spans="2:6" x14ac:dyDescent="0.3">
      <c r="B128" s="38" t="s">
        <v>670</v>
      </c>
      <c r="C128" s="38" t="s">
        <v>398</v>
      </c>
      <c r="D128" s="38" t="s">
        <v>664</v>
      </c>
      <c r="E128" s="38">
        <v>3</v>
      </c>
      <c r="F128" s="38">
        <v>54</v>
      </c>
    </row>
    <row r="129" spans="2:6" x14ac:dyDescent="0.3">
      <c r="B129" s="38" t="s">
        <v>659</v>
      </c>
      <c r="C129" s="38" t="s">
        <v>407</v>
      </c>
      <c r="D129" s="38" t="s">
        <v>651</v>
      </c>
      <c r="E129" s="38">
        <v>14</v>
      </c>
      <c r="F129" s="38">
        <v>104</v>
      </c>
    </row>
    <row r="130" spans="2:6" x14ac:dyDescent="0.3">
      <c r="B130" s="38" t="s">
        <v>400</v>
      </c>
      <c r="C130" s="38" t="s">
        <v>398</v>
      </c>
      <c r="D130" s="38" t="s">
        <v>399</v>
      </c>
      <c r="E130" s="38">
        <v>68</v>
      </c>
      <c r="F130" s="38">
        <v>853</v>
      </c>
    </row>
    <row r="131" spans="2:6" x14ac:dyDescent="0.3">
      <c r="B131" s="38" t="s">
        <v>783</v>
      </c>
      <c r="C131" s="38" t="s">
        <v>407</v>
      </c>
      <c r="D131" s="38" t="s">
        <v>774</v>
      </c>
      <c r="E131" s="38">
        <v>0</v>
      </c>
      <c r="F131" s="38">
        <v>0</v>
      </c>
    </row>
    <row r="132" spans="2:6" x14ac:dyDescent="0.3">
      <c r="B132" s="38" t="s">
        <v>563</v>
      </c>
      <c r="C132" s="38" t="s">
        <v>398</v>
      </c>
      <c r="D132" s="38" t="s">
        <v>561</v>
      </c>
      <c r="E132" s="38">
        <v>37</v>
      </c>
      <c r="F132" s="38">
        <v>475</v>
      </c>
    </row>
    <row r="133" spans="2:6" x14ac:dyDescent="0.3">
      <c r="B133" s="38" t="s">
        <v>538</v>
      </c>
      <c r="C133" s="38" t="s">
        <v>398</v>
      </c>
      <c r="D133" s="38" t="s">
        <v>535</v>
      </c>
      <c r="E133" s="38">
        <v>20</v>
      </c>
      <c r="F133" s="38">
        <v>274</v>
      </c>
    </row>
    <row r="134" spans="2:6" x14ac:dyDescent="0.3">
      <c r="B134" s="38" t="s">
        <v>560</v>
      </c>
      <c r="C134" s="38" t="s">
        <v>398</v>
      </c>
      <c r="D134" s="38" t="s">
        <v>561</v>
      </c>
      <c r="E134" s="38">
        <v>74</v>
      </c>
      <c r="F134" s="38">
        <v>1009</v>
      </c>
    </row>
    <row r="135" spans="2:6" x14ac:dyDescent="0.3">
      <c r="B135" s="38" t="s">
        <v>705</v>
      </c>
      <c r="C135" s="38" t="s">
        <v>398</v>
      </c>
      <c r="D135" s="38" t="s">
        <v>702</v>
      </c>
      <c r="E135" s="38">
        <v>47</v>
      </c>
      <c r="F135" s="38">
        <v>641</v>
      </c>
    </row>
    <row r="136" spans="2:6" x14ac:dyDescent="0.3">
      <c r="B136" s="38" t="s">
        <v>782</v>
      </c>
      <c r="C136" s="38" t="s">
        <v>407</v>
      </c>
      <c r="D136" s="38" t="s">
        <v>774</v>
      </c>
      <c r="E136" s="38">
        <v>0</v>
      </c>
      <c r="F136" s="38">
        <v>0</v>
      </c>
    </row>
    <row r="137" spans="2:6" x14ac:dyDescent="0.3">
      <c r="B137" s="38" t="s">
        <v>643</v>
      </c>
      <c r="C137" s="38" t="s">
        <v>398</v>
      </c>
      <c r="D137" s="38" t="s">
        <v>639</v>
      </c>
      <c r="E137" s="38">
        <v>29</v>
      </c>
      <c r="F137" s="38">
        <v>392</v>
      </c>
    </row>
    <row r="138" spans="2:6" x14ac:dyDescent="0.3">
      <c r="B138" s="38" t="s">
        <v>761</v>
      </c>
      <c r="C138" s="38" t="s">
        <v>398</v>
      </c>
      <c r="D138" s="38" t="s">
        <v>762</v>
      </c>
      <c r="E138" s="38">
        <v>70</v>
      </c>
      <c r="F138" s="38">
        <v>1034</v>
      </c>
    </row>
    <row r="139" spans="2:6" x14ac:dyDescent="0.3">
      <c r="B139" s="38" t="s">
        <v>591</v>
      </c>
      <c r="C139" s="38" t="s">
        <v>398</v>
      </c>
      <c r="D139" s="38" t="s">
        <v>588</v>
      </c>
      <c r="E139" s="38">
        <v>24</v>
      </c>
      <c r="F139" s="38">
        <v>348</v>
      </c>
    </row>
    <row r="140" spans="2:6" x14ac:dyDescent="0.3">
      <c r="B140" s="38" t="s">
        <v>733</v>
      </c>
      <c r="C140" s="38" t="s">
        <v>407</v>
      </c>
      <c r="D140" s="38" t="s">
        <v>726</v>
      </c>
      <c r="E140" s="38">
        <v>26</v>
      </c>
      <c r="F140" s="38">
        <v>290</v>
      </c>
    </row>
    <row r="141" spans="2:6" x14ac:dyDescent="0.3">
      <c r="B141" s="38" t="s">
        <v>766</v>
      </c>
      <c r="C141" s="38" t="s">
        <v>398</v>
      </c>
      <c r="D141" s="38" t="s">
        <v>762</v>
      </c>
      <c r="E141" s="38">
        <v>18</v>
      </c>
      <c r="F141" s="38">
        <v>199</v>
      </c>
    </row>
    <row r="142" spans="2:6" x14ac:dyDescent="0.3">
      <c r="B142" s="38" t="s">
        <v>551</v>
      </c>
      <c r="C142" s="38" t="s">
        <v>398</v>
      </c>
      <c r="D142" s="38" t="s">
        <v>548</v>
      </c>
      <c r="E142" s="38">
        <v>34</v>
      </c>
      <c r="F142" s="38">
        <v>376</v>
      </c>
    </row>
    <row r="143" spans="2:6" x14ac:dyDescent="0.3">
      <c r="B143" s="38" t="s">
        <v>776</v>
      </c>
      <c r="C143" s="38" t="s">
        <v>398</v>
      </c>
      <c r="D143" s="38" t="s">
        <v>774</v>
      </c>
      <c r="E143" s="38">
        <v>39</v>
      </c>
      <c r="F143" s="38">
        <v>482</v>
      </c>
    </row>
    <row r="144" spans="2:6" x14ac:dyDescent="0.3">
      <c r="B144" s="38" t="s">
        <v>652</v>
      </c>
      <c r="C144" s="38" t="s">
        <v>398</v>
      </c>
      <c r="D144" s="38" t="s">
        <v>651</v>
      </c>
      <c r="E144" s="38">
        <v>76</v>
      </c>
      <c r="F144" s="38">
        <v>1060</v>
      </c>
    </row>
    <row r="145" spans="2:6" x14ac:dyDescent="0.3">
      <c r="B145" s="38" t="s">
        <v>596</v>
      </c>
      <c r="C145" s="38" t="s">
        <v>407</v>
      </c>
      <c r="D145" s="38" t="s">
        <v>588</v>
      </c>
      <c r="E145" s="38">
        <v>12</v>
      </c>
      <c r="F145" s="38">
        <v>116</v>
      </c>
    </row>
    <row r="146" spans="2:6" x14ac:dyDescent="0.3">
      <c r="B146" s="38" t="s">
        <v>549</v>
      </c>
      <c r="C146" s="38" t="s">
        <v>398</v>
      </c>
      <c r="D146" s="38" t="s">
        <v>548</v>
      </c>
      <c r="E146" s="38">
        <v>59</v>
      </c>
      <c r="F146" s="38">
        <v>861</v>
      </c>
    </row>
    <row r="147" spans="2:6" x14ac:dyDescent="0.3">
      <c r="B147" s="38" t="s">
        <v>513</v>
      </c>
      <c r="C147" s="38" t="s">
        <v>398</v>
      </c>
      <c r="D147" s="38" t="s">
        <v>510</v>
      </c>
      <c r="E147" s="38">
        <v>16</v>
      </c>
      <c r="F147" s="38">
        <v>270</v>
      </c>
    </row>
    <row r="148" spans="2:6" x14ac:dyDescent="0.3">
      <c r="B148" s="38" t="s">
        <v>529</v>
      </c>
      <c r="C148" s="38" t="s">
        <v>407</v>
      </c>
      <c r="D148" s="38" t="s">
        <v>524</v>
      </c>
      <c r="E148" s="38">
        <v>32</v>
      </c>
      <c r="F148" s="38">
        <v>340</v>
      </c>
    </row>
    <row r="149" spans="2:6" x14ac:dyDescent="0.3">
      <c r="B149" s="38" t="s">
        <v>413</v>
      </c>
      <c r="C149" s="38" t="s">
        <v>398</v>
      </c>
      <c r="D149" s="38" t="s">
        <v>414</v>
      </c>
      <c r="E149" s="38">
        <v>72</v>
      </c>
      <c r="F149" s="38">
        <v>1114</v>
      </c>
    </row>
    <row r="150" spans="2:6" x14ac:dyDescent="0.3">
      <c r="B150" s="38" t="s">
        <v>743</v>
      </c>
      <c r="C150" s="38" t="s">
        <v>398</v>
      </c>
      <c r="D150" s="38" t="s">
        <v>739</v>
      </c>
      <c r="E150" s="38">
        <v>29</v>
      </c>
      <c r="F150" s="38">
        <v>316</v>
      </c>
    </row>
    <row r="151" spans="2:6" x14ac:dyDescent="0.3">
      <c r="B151" s="38" t="s">
        <v>734</v>
      </c>
      <c r="C151" s="38" t="s">
        <v>407</v>
      </c>
      <c r="D151" s="38" t="s">
        <v>726</v>
      </c>
      <c r="E151" s="38">
        <v>13</v>
      </c>
      <c r="F151" s="38">
        <v>100</v>
      </c>
    </row>
    <row r="152" spans="2:6" x14ac:dyDescent="0.3">
      <c r="B152" s="38" t="s">
        <v>780</v>
      </c>
      <c r="C152" s="38" t="s">
        <v>407</v>
      </c>
      <c r="D152" s="38" t="s">
        <v>774</v>
      </c>
      <c r="E152" s="38">
        <v>3</v>
      </c>
      <c r="F152" s="38">
        <v>28</v>
      </c>
    </row>
    <row r="153" spans="2:6" x14ac:dyDescent="0.3">
      <c r="B153" s="38" t="s">
        <v>687</v>
      </c>
      <c r="C153" s="38" t="s">
        <v>407</v>
      </c>
      <c r="D153" s="38" t="s">
        <v>678</v>
      </c>
      <c r="E153" s="38">
        <v>5</v>
      </c>
      <c r="F153" s="38">
        <v>21</v>
      </c>
    </row>
    <row r="154" spans="2:6" x14ac:dyDescent="0.3">
      <c r="B154" s="38" t="s">
        <v>598</v>
      </c>
      <c r="C154" s="38" t="s">
        <v>407</v>
      </c>
      <c r="D154" s="38" t="s">
        <v>588</v>
      </c>
      <c r="E154" s="38">
        <v>0</v>
      </c>
      <c r="F154" s="38">
        <v>0</v>
      </c>
    </row>
    <row r="155" spans="2:6" x14ac:dyDescent="0.3">
      <c r="B155" s="38" t="s">
        <v>730</v>
      </c>
      <c r="C155" s="38" t="s">
        <v>398</v>
      </c>
      <c r="D155" s="38" t="s">
        <v>726</v>
      </c>
      <c r="E155" s="38">
        <v>12</v>
      </c>
      <c r="F155" s="38">
        <v>188</v>
      </c>
    </row>
    <row r="156" spans="2:6" x14ac:dyDescent="0.3">
      <c r="B156" s="38" t="s">
        <v>671</v>
      </c>
      <c r="C156" s="38" t="s">
        <v>398</v>
      </c>
      <c r="D156" s="38" t="s">
        <v>664</v>
      </c>
      <c r="E156" s="38">
        <v>0</v>
      </c>
      <c r="F156" s="38">
        <v>0</v>
      </c>
    </row>
    <row r="157" spans="2:6" x14ac:dyDescent="0.3">
      <c r="B157" s="38" t="s">
        <v>600</v>
      </c>
      <c r="C157" s="38" t="s">
        <v>398</v>
      </c>
      <c r="D157" s="38" t="s">
        <v>601</v>
      </c>
      <c r="E157" s="38">
        <v>59</v>
      </c>
      <c r="F157" s="38">
        <v>996</v>
      </c>
    </row>
    <row r="158" spans="2:6" x14ac:dyDescent="0.3">
      <c r="B158" s="38" t="s">
        <v>428</v>
      </c>
      <c r="C158" s="38" t="s">
        <v>398</v>
      </c>
      <c r="D158" s="38" t="s">
        <v>425</v>
      </c>
      <c r="E158" s="38">
        <v>2</v>
      </c>
      <c r="F158" s="38">
        <v>19</v>
      </c>
    </row>
    <row r="159" spans="2:6" x14ac:dyDescent="0.3">
      <c r="B159" s="38" t="s">
        <v>611</v>
      </c>
      <c r="C159" s="38" t="s">
        <v>407</v>
      </c>
      <c r="D159" s="38" t="s">
        <v>601</v>
      </c>
      <c r="E159" s="38">
        <v>0</v>
      </c>
      <c r="F159" s="38">
        <v>0</v>
      </c>
    </row>
    <row r="160" spans="2:6" x14ac:dyDescent="0.3">
      <c r="B160" s="38" t="s">
        <v>791</v>
      </c>
      <c r="C160" s="38" t="s">
        <v>407</v>
      </c>
      <c r="D160" s="38" t="s">
        <v>785</v>
      </c>
      <c r="E160" s="38">
        <v>30</v>
      </c>
      <c r="F160" s="38">
        <v>306</v>
      </c>
    </row>
    <row r="161" spans="2:6" x14ac:dyDescent="0.3">
      <c r="B161" s="38" t="s">
        <v>456</v>
      </c>
      <c r="C161" s="38" t="s">
        <v>407</v>
      </c>
      <c r="D161" s="38" t="s">
        <v>448</v>
      </c>
      <c r="E161" s="38">
        <v>66</v>
      </c>
      <c r="F161" s="38">
        <v>649</v>
      </c>
    </row>
    <row r="162" spans="2:6" x14ac:dyDescent="0.3">
      <c r="B162" s="38" t="s">
        <v>752</v>
      </c>
      <c r="C162" s="38" t="s">
        <v>398</v>
      </c>
      <c r="D162" s="38" t="s">
        <v>751</v>
      </c>
      <c r="E162" s="38">
        <v>71</v>
      </c>
      <c r="F162" s="38">
        <v>1003</v>
      </c>
    </row>
    <row r="163" spans="2:6" x14ac:dyDescent="0.3">
      <c r="B163" s="38" t="s">
        <v>477</v>
      </c>
      <c r="C163" s="38" t="s">
        <v>398</v>
      </c>
      <c r="D163" s="38" t="s">
        <v>475</v>
      </c>
      <c r="E163" s="38">
        <v>36</v>
      </c>
      <c r="F163" s="38">
        <v>541</v>
      </c>
    </row>
    <row r="164" spans="2:6" x14ac:dyDescent="0.3">
      <c r="B164" s="38"/>
      <c r="C164" s="38"/>
      <c r="D164" s="38"/>
      <c r="E164" s="38"/>
      <c r="F164" s="38"/>
    </row>
    <row r="165" spans="2:6" x14ac:dyDescent="0.3">
      <c r="B165" s="38"/>
      <c r="C165" s="38"/>
      <c r="D165" s="38"/>
      <c r="E165" s="38"/>
      <c r="F165" s="38"/>
    </row>
    <row r="166" spans="2:6" x14ac:dyDescent="0.3">
      <c r="B166" s="38" t="s">
        <v>556</v>
      </c>
      <c r="C166" s="38" t="s">
        <v>407</v>
      </c>
      <c r="D166" s="38" t="s">
        <v>548</v>
      </c>
      <c r="E166" s="38">
        <v>24</v>
      </c>
      <c r="F166" s="38">
        <v>284</v>
      </c>
    </row>
    <row r="167" spans="2:6" x14ac:dyDescent="0.3">
      <c r="B167" s="38" t="s">
        <v>420</v>
      </c>
      <c r="C167" s="38" t="s">
        <v>407</v>
      </c>
      <c r="D167" s="38" t="s">
        <v>414</v>
      </c>
      <c r="E167" s="38">
        <v>38</v>
      </c>
      <c r="F167" s="38">
        <v>335</v>
      </c>
    </row>
    <row r="168" spans="2:6" x14ac:dyDescent="0.3">
      <c r="B168" s="38" t="s">
        <v>492</v>
      </c>
      <c r="C168" s="38" t="s">
        <v>398</v>
      </c>
      <c r="D168" s="38" t="s">
        <v>487</v>
      </c>
      <c r="E168" s="38">
        <v>4</v>
      </c>
      <c r="F168" s="38">
        <v>34</v>
      </c>
    </row>
    <row r="169" spans="2:6" x14ac:dyDescent="0.3">
      <c r="B169" s="38" t="s">
        <v>604</v>
      </c>
      <c r="C169" s="38" t="s">
        <v>398</v>
      </c>
      <c r="D169" s="38" t="s">
        <v>601</v>
      </c>
      <c r="E169" s="38">
        <v>26</v>
      </c>
      <c r="F169" s="38">
        <v>376</v>
      </c>
    </row>
    <row r="170" spans="2:6" x14ac:dyDescent="0.3">
      <c r="B170" s="38" t="s">
        <v>706</v>
      </c>
      <c r="C170" s="38" t="s">
        <v>398</v>
      </c>
      <c r="D170" s="38" t="s">
        <v>702</v>
      </c>
      <c r="E170" s="38">
        <v>9</v>
      </c>
      <c r="F170" s="38">
        <v>122</v>
      </c>
    </row>
    <row r="171" spans="2:6" x14ac:dyDescent="0.3">
      <c r="B171" s="38" t="s">
        <v>621</v>
      </c>
      <c r="C171" s="38" t="s">
        <v>407</v>
      </c>
      <c r="D171" s="38" t="s">
        <v>614</v>
      </c>
      <c r="E171" s="38">
        <v>18</v>
      </c>
      <c r="F171" s="38">
        <v>165</v>
      </c>
    </row>
    <row r="172" spans="2:6" x14ac:dyDescent="0.3">
      <c r="B172" s="38" t="s">
        <v>500</v>
      </c>
      <c r="C172" s="38" t="s">
        <v>398</v>
      </c>
      <c r="D172" s="38" t="s">
        <v>499</v>
      </c>
      <c r="E172" s="38">
        <v>66</v>
      </c>
      <c r="F172" s="38">
        <v>764</v>
      </c>
    </row>
    <row r="173" spans="2:6" x14ac:dyDescent="0.3">
      <c r="B173" s="38" t="s">
        <v>493</v>
      </c>
      <c r="C173" s="38" t="s">
        <v>407</v>
      </c>
      <c r="D173" s="38" t="s">
        <v>487</v>
      </c>
      <c r="E173" s="38">
        <v>38</v>
      </c>
      <c r="F173" s="38">
        <v>373</v>
      </c>
    </row>
    <row r="174" spans="2:6" x14ac:dyDescent="0.3">
      <c r="B174" s="38" t="s">
        <v>486</v>
      </c>
      <c r="C174" s="38" t="s">
        <v>398</v>
      </c>
      <c r="D174" s="38" t="s">
        <v>487</v>
      </c>
      <c r="E174" s="38">
        <v>91</v>
      </c>
      <c r="F174" s="38">
        <v>1107</v>
      </c>
    </row>
    <row r="175" spans="2:6" x14ac:dyDescent="0.3">
      <c r="B175" s="38" t="s">
        <v>427</v>
      </c>
      <c r="C175" s="38" t="s">
        <v>398</v>
      </c>
      <c r="D175" s="38" t="s">
        <v>425</v>
      </c>
      <c r="E175" s="38">
        <v>47</v>
      </c>
      <c r="F175" s="38">
        <v>501</v>
      </c>
    </row>
    <row r="176" spans="2:6" x14ac:dyDescent="0.3">
      <c r="B176" s="38" t="s">
        <v>437</v>
      </c>
      <c r="C176" s="38" t="s">
        <v>398</v>
      </c>
      <c r="D176" s="38" t="s">
        <v>436</v>
      </c>
      <c r="E176" s="38">
        <v>75</v>
      </c>
      <c r="F176" s="38">
        <v>1060</v>
      </c>
    </row>
    <row r="177" spans="2:6" x14ac:dyDescent="0.3">
      <c r="B177" s="38" t="s">
        <v>470</v>
      </c>
      <c r="C177" s="38" t="s">
        <v>407</v>
      </c>
      <c r="D177" s="38" t="s">
        <v>462</v>
      </c>
      <c r="E177" s="38">
        <v>24</v>
      </c>
      <c r="F177" s="38">
        <v>268</v>
      </c>
    </row>
    <row r="178" spans="2:6" x14ac:dyDescent="0.3">
      <c r="B178" s="38" t="s">
        <v>711</v>
      </c>
      <c r="C178" s="38" t="s">
        <v>407</v>
      </c>
      <c r="D178" s="38" t="s">
        <v>702</v>
      </c>
      <c r="E178" s="38">
        <v>0</v>
      </c>
      <c r="F178" s="38">
        <v>0</v>
      </c>
    </row>
    <row r="179" spans="2:6" x14ac:dyDescent="0.3">
      <c r="B179" s="38" t="s">
        <v>640</v>
      </c>
      <c r="C179" s="38" t="s">
        <v>398</v>
      </c>
      <c r="D179" s="38" t="s">
        <v>639</v>
      </c>
      <c r="E179" s="38">
        <v>53</v>
      </c>
      <c r="F179" s="38">
        <v>683</v>
      </c>
    </row>
    <row r="180" spans="2:6" x14ac:dyDescent="0.3">
      <c r="B180" s="38" t="s">
        <v>409</v>
      </c>
      <c r="C180" s="38" t="s">
        <v>407</v>
      </c>
      <c r="D180" s="38" t="s">
        <v>399</v>
      </c>
      <c r="E180" s="38">
        <v>5</v>
      </c>
      <c r="F180" s="38">
        <v>52</v>
      </c>
    </row>
    <row r="181" spans="2:6" x14ac:dyDescent="0.3">
      <c r="B181" s="38" t="s">
        <v>540</v>
      </c>
      <c r="C181" s="38" t="s">
        <v>398</v>
      </c>
      <c r="D181" s="38" t="s">
        <v>535</v>
      </c>
      <c r="E181" s="38">
        <v>8</v>
      </c>
      <c r="F181" s="38">
        <v>182</v>
      </c>
    </row>
    <row r="182" spans="2:6" x14ac:dyDescent="0.3">
      <c r="B182" s="38" t="s">
        <v>533</v>
      </c>
      <c r="C182" s="38" t="s">
        <v>407</v>
      </c>
      <c r="D182" s="38" t="s">
        <v>524</v>
      </c>
      <c r="E182" s="38">
        <v>0</v>
      </c>
      <c r="F182" s="38">
        <v>0</v>
      </c>
    </row>
    <row r="183" spans="2:6" x14ac:dyDescent="0.3">
      <c r="B183" s="38" t="s">
        <v>402</v>
      </c>
      <c r="C183" s="38" t="s">
        <v>398</v>
      </c>
      <c r="D183" s="38" t="s">
        <v>399</v>
      </c>
      <c r="E183" s="38">
        <v>21</v>
      </c>
      <c r="F183" s="38">
        <v>256</v>
      </c>
    </row>
    <row r="184" spans="2:6" x14ac:dyDescent="0.3">
      <c r="B184" s="38" t="s">
        <v>506</v>
      </c>
      <c r="C184" s="38" t="s">
        <v>407</v>
      </c>
      <c r="D184" s="38" t="s">
        <v>499</v>
      </c>
      <c r="E184" s="38">
        <v>17</v>
      </c>
      <c r="F184" s="38">
        <v>145</v>
      </c>
    </row>
    <row r="185" spans="2:6" x14ac:dyDescent="0.3">
      <c r="B185" s="38" t="s">
        <v>610</v>
      </c>
      <c r="C185" s="38" t="s">
        <v>407</v>
      </c>
      <c r="D185" s="38" t="s">
        <v>601</v>
      </c>
      <c r="E185" s="38">
        <v>16</v>
      </c>
      <c r="F185" s="38">
        <v>114</v>
      </c>
    </row>
    <row r="186" spans="2:6" x14ac:dyDescent="0.3">
      <c r="B186" s="38" t="s">
        <v>452</v>
      </c>
      <c r="C186" s="38" t="s">
        <v>398</v>
      </c>
      <c r="D186" s="38" t="s">
        <v>448</v>
      </c>
      <c r="E186" s="38">
        <v>6</v>
      </c>
      <c r="F186" s="38">
        <v>83</v>
      </c>
    </row>
    <row r="187" spans="2:6" x14ac:dyDescent="0.3">
      <c r="B187" s="38" t="s">
        <v>599</v>
      </c>
      <c r="C187" s="38" t="s">
        <v>407</v>
      </c>
      <c r="D187" s="38" t="s">
        <v>588</v>
      </c>
      <c r="E187" s="38">
        <v>0</v>
      </c>
      <c r="F187" s="38">
        <v>0</v>
      </c>
    </row>
    <row r="188" spans="2:6" x14ac:dyDescent="0.3">
      <c r="B188" s="38" t="s">
        <v>696</v>
      </c>
      <c r="C188" s="38" t="s">
        <v>407</v>
      </c>
      <c r="D188" s="38" t="s">
        <v>690</v>
      </c>
      <c r="E188" s="38">
        <v>79</v>
      </c>
      <c r="F188" s="38">
        <v>863</v>
      </c>
    </row>
    <row r="189" spans="2:6" x14ac:dyDescent="0.3">
      <c r="B189" s="38" t="s">
        <v>455</v>
      </c>
      <c r="C189" s="38" t="s">
        <v>398</v>
      </c>
      <c r="D189" s="38" t="s">
        <v>448</v>
      </c>
      <c r="E189" s="38">
        <v>2</v>
      </c>
      <c r="F189" s="38">
        <v>12</v>
      </c>
    </row>
    <row r="190" spans="2:6" x14ac:dyDescent="0.3">
      <c r="B190" s="38" t="s">
        <v>650</v>
      </c>
      <c r="C190" s="38" t="s">
        <v>398</v>
      </c>
      <c r="D190" s="38" t="s">
        <v>651</v>
      </c>
      <c r="E190" s="38">
        <v>84</v>
      </c>
      <c r="F190" s="38">
        <v>1330</v>
      </c>
    </row>
    <row r="191" spans="2:6" x14ac:dyDescent="0.3">
      <c r="B191" s="38" t="s">
        <v>684</v>
      </c>
      <c r="C191" s="38" t="s">
        <v>407</v>
      </c>
      <c r="D191" s="38" t="s">
        <v>678</v>
      </c>
      <c r="E191" s="38">
        <v>38</v>
      </c>
      <c r="F191" s="38">
        <v>425</v>
      </c>
    </row>
    <row r="192" spans="2:6" x14ac:dyDescent="0.3">
      <c r="B192" s="38" t="s">
        <v>571</v>
      </c>
      <c r="C192" s="38" t="s">
        <v>407</v>
      </c>
      <c r="D192" s="38" t="s">
        <v>561</v>
      </c>
      <c r="E192" s="38">
        <v>9</v>
      </c>
      <c r="F192" s="38">
        <v>111</v>
      </c>
    </row>
    <row r="193" spans="2:6" x14ac:dyDescent="0.3">
      <c r="B193" s="38" t="s">
        <v>586</v>
      </c>
      <c r="C193" s="38" t="s">
        <v>407</v>
      </c>
      <c r="D193" s="38" t="s">
        <v>574</v>
      </c>
      <c r="E193" s="38">
        <v>0</v>
      </c>
      <c r="F193" s="38">
        <v>0</v>
      </c>
    </row>
    <row r="194" spans="2:6" x14ac:dyDescent="0.3">
      <c r="B194" s="38" t="s">
        <v>494</v>
      </c>
      <c r="C194" s="38" t="s">
        <v>407</v>
      </c>
      <c r="D194" s="38" t="s">
        <v>487</v>
      </c>
      <c r="E194" s="38">
        <v>9</v>
      </c>
      <c r="F194" s="38">
        <v>101</v>
      </c>
    </row>
    <row r="195" spans="2:6" x14ac:dyDescent="0.3">
      <c r="B195" s="38" t="s">
        <v>542</v>
      </c>
      <c r="C195" s="38" t="s">
        <v>407</v>
      </c>
      <c r="D195" s="38" t="s">
        <v>535</v>
      </c>
      <c r="E195" s="38">
        <v>64</v>
      </c>
      <c r="F195" s="38">
        <v>697</v>
      </c>
    </row>
    <row r="196" spans="2:6" x14ac:dyDescent="0.3">
      <c r="B196" s="38" t="s">
        <v>467</v>
      </c>
      <c r="C196" s="38" t="s">
        <v>398</v>
      </c>
      <c r="D196" s="38" t="s">
        <v>462</v>
      </c>
      <c r="E196" s="38">
        <v>12</v>
      </c>
      <c r="F196" s="38">
        <v>232</v>
      </c>
    </row>
    <row r="197" spans="2:6" x14ac:dyDescent="0.3">
      <c r="B197" s="38" t="s">
        <v>582</v>
      </c>
      <c r="C197" s="38" t="s">
        <v>407</v>
      </c>
      <c r="D197" s="38" t="s">
        <v>574</v>
      </c>
      <c r="E197" s="38">
        <v>35</v>
      </c>
      <c r="F197" s="38">
        <v>347</v>
      </c>
    </row>
    <row r="198" spans="2:6" x14ac:dyDescent="0.3">
      <c r="B198" s="38" t="s">
        <v>642</v>
      </c>
      <c r="C198" s="38" t="s">
        <v>398</v>
      </c>
      <c r="D198" s="38" t="s">
        <v>639</v>
      </c>
      <c r="E198" s="38">
        <v>28</v>
      </c>
      <c r="F198" s="38">
        <v>394</v>
      </c>
    </row>
    <row r="199" spans="2:6" x14ac:dyDescent="0.3">
      <c r="B199" s="38" t="s">
        <v>464</v>
      </c>
      <c r="C199" s="38" t="s">
        <v>398</v>
      </c>
      <c r="D199" s="38" t="s">
        <v>462</v>
      </c>
      <c r="E199" s="38">
        <v>32</v>
      </c>
      <c r="F199" s="38">
        <v>449</v>
      </c>
    </row>
    <row r="200" spans="2:6" x14ac:dyDescent="0.3">
      <c r="B200" s="38" t="s">
        <v>469</v>
      </c>
      <c r="C200" s="38" t="s">
        <v>407</v>
      </c>
      <c r="D200" s="38" t="s">
        <v>462</v>
      </c>
      <c r="E200" s="38">
        <v>38</v>
      </c>
      <c r="F200" s="38">
        <v>397</v>
      </c>
    </row>
    <row r="201" spans="2:6" x14ac:dyDescent="0.3">
      <c r="B201" s="38" t="s">
        <v>527</v>
      </c>
      <c r="C201" s="38" t="s">
        <v>398</v>
      </c>
      <c r="D201" s="38" t="s">
        <v>524</v>
      </c>
      <c r="E201" s="38">
        <v>31</v>
      </c>
      <c r="F201" s="38">
        <v>306</v>
      </c>
    </row>
    <row r="202" spans="2:6" x14ac:dyDescent="0.3">
      <c r="B202" s="38" t="s">
        <v>511</v>
      </c>
      <c r="C202" s="38" t="s">
        <v>398</v>
      </c>
      <c r="D202" s="38" t="s">
        <v>510</v>
      </c>
      <c r="E202" s="38">
        <v>72</v>
      </c>
      <c r="F202" s="38">
        <v>1023</v>
      </c>
    </row>
    <row r="203" spans="2:6" x14ac:dyDescent="0.3">
      <c r="B203" s="38" t="s">
        <v>681</v>
      </c>
      <c r="C203" s="38" t="s">
        <v>398</v>
      </c>
      <c r="D203" s="38" t="s">
        <v>678</v>
      </c>
      <c r="E203" s="38">
        <v>40</v>
      </c>
      <c r="F203" s="38">
        <v>543</v>
      </c>
    </row>
    <row r="204" spans="2:6" x14ac:dyDescent="0.3">
      <c r="B204" s="38" t="s">
        <v>405</v>
      </c>
      <c r="C204" s="38" t="s">
        <v>398</v>
      </c>
      <c r="D204" s="38" t="s">
        <v>399</v>
      </c>
      <c r="E204" s="38">
        <v>2</v>
      </c>
      <c r="F204" s="38">
        <v>25</v>
      </c>
    </row>
    <row r="205" spans="2:6" x14ac:dyDescent="0.3">
      <c r="B205" s="38" t="s">
        <v>583</v>
      </c>
      <c r="C205" s="38" t="s">
        <v>407</v>
      </c>
      <c r="D205" s="38" t="s">
        <v>574</v>
      </c>
      <c r="E205" s="38">
        <v>29</v>
      </c>
      <c r="F205" s="38">
        <v>287</v>
      </c>
    </row>
    <row r="206" spans="2:6" x14ac:dyDescent="0.3">
      <c r="B206" s="38" t="s">
        <v>613</v>
      </c>
      <c r="C206" s="38" t="s">
        <v>398</v>
      </c>
      <c r="D206" s="38" t="s">
        <v>614</v>
      </c>
      <c r="E206" s="38">
        <v>79</v>
      </c>
      <c r="F206" s="38">
        <v>1151</v>
      </c>
    </row>
    <row r="207" spans="2:6" x14ac:dyDescent="0.3">
      <c r="B207" s="38" t="s">
        <v>547</v>
      </c>
      <c r="C207" s="38" t="s">
        <v>398</v>
      </c>
      <c r="D207" s="38" t="s">
        <v>548</v>
      </c>
      <c r="E207" s="38">
        <v>91</v>
      </c>
      <c r="F207" s="38">
        <v>1289</v>
      </c>
    </row>
    <row r="208" spans="2:6" x14ac:dyDescent="0.3">
      <c r="B208" s="38" t="s">
        <v>466</v>
      </c>
      <c r="C208" s="38" t="s">
        <v>398</v>
      </c>
      <c r="D208" s="38" t="s">
        <v>462</v>
      </c>
      <c r="E208" s="38">
        <v>36</v>
      </c>
      <c r="F208" s="38">
        <v>422</v>
      </c>
    </row>
    <row r="209" spans="2:6" x14ac:dyDescent="0.3">
      <c r="B209" s="38" t="s">
        <v>637</v>
      </c>
      <c r="C209" s="38" t="s">
        <v>407</v>
      </c>
      <c r="D209" s="38" t="s">
        <v>627</v>
      </c>
      <c r="E209" s="38">
        <v>0</v>
      </c>
      <c r="F209" s="38">
        <v>0</v>
      </c>
    </row>
    <row r="210" spans="2:6" x14ac:dyDescent="0.3">
      <c r="B210" s="38" t="s">
        <v>531</v>
      </c>
      <c r="C210" s="38" t="s">
        <v>407</v>
      </c>
      <c r="D210" s="38" t="s">
        <v>524</v>
      </c>
      <c r="E210" s="38">
        <v>0</v>
      </c>
      <c r="F210" s="38">
        <v>0</v>
      </c>
    </row>
    <row r="211" spans="2:6" x14ac:dyDescent="0.3">
      <c r="B211" s="38" t="s">
        <v>426</v>
      </c>
      <c r="C211" s="38" t="s">
        <v>398</v>
      </c>
      <c r="D211" s="38" t="s">
        <v>425</v>
      </c>
      <c r="E211" s="38">
        <v>54</v>
      </c>
      <c r="F211" s="38">
        <v>831</v>
      </c>
    </row>
    <row r="212" spans="2:6" x14ac:dyDescent="0.3">
      <c r="B212" s="38" t="s">
        <v>636</v>
      </c>
      <c r="C212" s="38" t="s">
        <v>407</v>
      </c>
      <c r="D212" s="38" t="s">
        <v>627</v>
      </c>
      <c r="E212" s="38">
        <v>0</v>
      </c>
      <c r="F212" s="38">
        <v>0</v>
      </c>
    </row>
    <row r="213" spans="2:6" x14ac:dyDescent="0.3">
      <c r="B213" s="38" t="s">
        <v>795</v>
      </c>
      <c r="C213" s="38" t="s">
        <v>407</v>
      </c>
      <c r="D213" s="38" t="s">
        <v>785</v>
      </c>
      <c r="E213" s="38">
        <v>0</v>
      </c>
      <c r="F213" s="38">
        <v>0</v>
      </c>
    </row>
    <row r="214" spans="2:6" x14ac:dyDescent="0.3">
      <c r="B214" s="38" t="s">
        <v>736</v>
      </c>
      <c r="C214" s="38" t="s">
        <v>407</v>
      </c>
      <c r="D214" s="38" t="s">
        <v>726</v>
      </c>
      <c r="E214" s="38">
        <v>2</v>
      </c>
      <c r="F214" s="38">
        <v>24</v>
      </c>
    </row>
    <row r="215" spans="2:6" x14ac:dyDescent="0.3">
      <c r="B215" s="38" t="s">
        <v>572</v>
      </c>
      <c r="C215" s="38" t="s">
        <v>407</v>
      </c>
      <c r="D215" s="38" t="s">
        <v>561</v>
      </c>
      <c r="E215" s="38">
        <v>0</v>
      </c>
      <c r="F215" s="38">
        <v>0</v>
      </c>
    </row>
    <row r="216" spans="2:6" x14ac:dyDescent="0.3">
      <c r="B216" s="38" t="s">
        <v>737</v>
      </c>
      <c r="C216" s="38" t="s">
        <v>407</v>
      </c>
      <c r="D216" s="38" t="s">
        <v>726</v>
      </c>
      <c r="E216" s="38">
        <v>2</v>
      </c>
      <c r="F216" s="38">
        <v>14</v>
      </c>
    </row>
    <row r="217" spans="2:6" x14ac:dyDescent="0.3">
      <c r="B217" s="38" t="s">
        <v>522</v>
      </c>
      <c r="C217" s="38" t="s">
        <v>407</v>
      </c>
      <c r="D217" s="38" t="s">
        <v>510</v>
      </c>
      <c r="E217" s="38">
        <v>0</v>
      </c>
      <c r="F217" s="38">
        <v>0</v>
      </c>
    </row>
    <row r="218" spans="2:6" x14ac:dyDescent="0.3">
      <c r="B218" s="38" t="s">
        <v>515</v>
      </c>
      <c r="C218" s="38" t="s">
        <v>398</v>
      </c>
      <c r="D218" s="38" t="s">
        <v>510</v>
      </c>
      <c r="E218" s="38">
        <v>3</v>
      </c>
      <c r="F218" s="38">
        <v>54</v>
      </c>
    </row>
    <row r="219" spans="2:6" x14ac:dyDescent="0.3">
      <c r="B219" s="38" t="s">
        <v>516</v>
      </c>
      <c r="C219" s="38" t="s">
        <v>398</v>
      </c>
      <c r="D219" s="38" t="s">
        <v>510</v>
      </c>
      <c r="E219" s="38">
        <v>2</v>
      </c>
      <c r="F219" s="38">
        <v>45</v>
      </c>
    </row>
    <row r="220" spans="2:6" x14ac:dyDescent="0.3">
      <c r="B220" s="38" t="s">
        <v>449</v>
      </c>
      <c r="C220" s="38" t="s">
        <v>398</v>
      </c>
      <c r="D220" s="38" t="s">
        <v>448</v>
      </c>
      <c r="E220" s="38">
        <v>54</v>
      </c>
      <c r="F220" s="38">
        <v>703</v>
      </c>
    </row>
    <row r="221" spans="2:6" x14ac:dyDescent="0.3">
      <c r="B221" s="38" t="s">
        <v>528</v>
      </c>
      <c r="C221" s="38" t="s">
        <v>398</v>
      </c>
      <c r="D221" s="38" t="s">
        <v>524</v>
      </c>
      <c r="E221" s="38">
        <v>12</v>
      </c>
      <c r="F221" s="38">
        <v>209</v>
      </c>
    </row>
    <row r="222" spans="2:6" x14ac:dyDescent="0.3">
      <c r="B222" s="38" t="s">
        <v>520</v>
      </c>
      <c r="C222" s="38" t="s">
        <v>407</v>
      </c>
      <c r="D222" s="38" t="s">
        <v>510</v>
      </c>
      <c r="E222" s="38">
        <v>7</v>
      </c>
      <c r="F222" s="38">
        <v>91</v>
      </c>
    </row>
    <row r="223" spans="2:6" x14ac:dyDescent="0.3">
      <c r="B223" s="38" t="s">
        <v>755</v>
      </c>
      <c r="C223" s="38" t="s">
        <v>398</v>
      </c>
      <c r="D223" s="38" t="s">
        <v>751</v>
      </c>
      <c r="E223" s="38">
        <v>18</v>
      </c>
      <c r="F223" s="38">
        <v>208</v>
      </c>
    </row>
    <row r="224" spans="2:6" x14ac:dyDescent="0.3">
      <c r="B224" s="38" t="s">
        <v>727</v>
      </c>
      <c r="C224" s="38" t="s">
        <v>398</v>
      </c>
      <c r="D224" s="38" t="s">
        <v>726</v>
      </c>
      <c r="E224" s="38">
        <v>41</v>
      </c>
      <c r="F224" s="38">
        <v>499</v>
      </c>
    </row>
    <row r="225" spans="2:6" x14ac:dyDescent="0.3">
      <c r="B225" s="38" t="s">
        <v>525</v>
      </c>
      <c r="C225" s="38" t="s">
        <v>398</v>
      </c>
      <c r="D225" s="38" t="s">
        <v>524</v>
      </c>
      <c r="E225" s="38">
        <v>64</v>
      </c>
      <c r="F225" s="38">
        <v>879</v>
      </c>
    </row>
    <row r="226" spans="2:6" x14ac:dyDescent="0.3">
      <c r="B226" s="38" t="s">
        <v>483</v>
      </c>
      <c r="C226" s="38" t="s">
        <v>407</v>
      </c>
      <c r="D226" s="38" t="s">
        <v>475</v>
      </c>
      <c r="E226" s="38">
        <v>10</v>
      </c>
      <c r="F226" s="38">
        <v>81</v>
      </c>
    </row>
    <row r="227" spans="2:6" x14ac:dyDescent="0.3">
      <c r="B227" s="38" t="s">
        <v>674</v>
      </c>
      <c r="C227" s="38" t="s">
        <v>407</v>
      </c>
      <c r="D227" s="38" t="s">
        <v>664</v>
      </c>
      <c r="E227" s="38">
        <v>2</v>
      </c>
      <c r="F227" s="38">
        <v>17</v>
      </c>
    </row>
    <row r="228" spans="2:6" x14ac:dyDescent="0.3">
      <c r="B228" s="38" t="s">
        <v>744</v>
      </c>
      <c r="C228" s="38" t="s">
        <v>398</v>
      </c>
      <c r="D228" s="38" t="s">
        <v>739</v>
      </c>
      <c r="E228" s="38">
        <v>10</v>
      </c>
      <c r="F228" s="38">
        <v>165</v>
      </c>
    </row>
    <row r="229" spans="2:6" x14ac:dyDescent="0.3">
      <c r="B229" s="38" t="s">
        <v>478</v>
      </c>
      <c r="C229" s="38" t="s">
        <v>398</v>
      </c>
      <c r="D229" s="38" t="s">
        <v>475</v>
      </c>
      <c r="E229" s="38">
        <v>19</v>
      </c>
      <c r="F229" s="38">
        <v>396</v>
      </c>
    </row>
    <row r="230" spans="2:6" x14ac:dyDescent="0.3">
      <c r="B230" s="38" t="s">
        <v>740</v>
      </c>
      <c r="C230" s="38" t="s">
        <v>398</v>
      </c>
      <c r="D230" s="38" t="s">
        <v>739</v>
      </c>
      <c r="E230" s="38">
        <v>59</v>
      </c>
      <c r="F230" s="38">
        <v>942</v>
      </c>
    </row>
    <row r="231" spans="2:6" x14ac:dyDescent="0.3">
      <c r="B231" s="38" t="s">
        <v>581</v>
      </c>
      <c r="C231" s="38" t="s">
        <v>398</v>
      </c>
      <c r="D231" s="38" t="s">
        <v>574</v>
      </c>
      <c r="E231" s="38">
        <v>4</v>
      </c>
      <c r="F231" s="38">
        <v>18</v>
      </c>
    </row>
    <row r="232" spans="2:6" x14ac:dyDescent="0.3">
      <c r="B232" s="38" t="s">
        <v>474</v>
      </c>
      <c r="C232" s="38" t="s">
        <v>398</v>
      </c>
      <c r="D232" s="38" t="s">
        <v>475</v>
      </c>
      <c r="E232" s="38">
        <v>71</v>
      </c>
      <c r="F232" s="38">
        <v>898</v>
      </c>
    </row>
    <row r="233" spans="2:6" x14ac:dyDescent="0.3">
      <c r="B233" s="38" t="s">
        <v>709</v>
      </c>
      <c r="C233" s="38" t="s">
        <v>407</v>
      </c>
      <c r="D233" s="38" t="s">
        <v>702</v>
      </c>
      <c r="E233" s="38">
        <v>4</v>
      </c>
      <c r="F233" s="38">
        <v>28</v>
      </c>
    </row>
    <row r="234" spans="2:6" x14ac:dyDescent="0.3">
      <c r="B234" s="38" t="s">
        <v>710</v>
      </c>
      <c r="C234" s="38" t="s">
        <v>407</v>
      </c>
      <c r="D234" s="38" t="s">
        <v>702</v>
      </c>
      <c r="E234" s="38">
        <v>0</v>
      </c>
      <c r="F234" s="38">
        <v>0</v>
      </c>
    </row>
    <row r="235" spans="2:6" x14ac:dyDescent="0.3">
      <c r="B235" s="38" t="s">
        <v>716</v>
      </c>
      <c r="C235" s="38" t="s">
        <v>398</v>
      </c>
      <c r="D235" s="38" t="s">
        <v>713</v>
      </c>
      <c r="E235" s="38">
        <v>37</v>
      </c>
      <c r="F235" s="38">
        <v>327</v>
      </c>
    </row>
    <row r="236" spans="2:6" x14ac:dyDescent="0.3">
      <c r="B236" s="38" t="s">
        <v>578</v>
      </c>
      <c r="C236" s="38" t="s">
        <v>398</v>
      </c>
      <c r="D236" s="38" t="s">
        <v>574</v>
      </c>
      <c r="E236" s="38">
        <v>18</v>
      </c>
      <c r="F236" s="38">
        <v>336</v>
      </c>
    </row>
    <row r="237" spans="2:6" x14ac:dyDescent="0.3">
      <c r="B237" s="38" t="s">
        <v>594</v>
      </c>
      <c r="C237" s="38" t="s">
        <v>398</v>
      </c>
      <c r="D237" s="38" t="s">
        <v>588</v>
      </c>
      <c r="E237" s="38">
        <v>1</v>
      </c>
      <c r="F237" s="38">
        <v>28</v>
      </c>
    </row>
    <row r="238" spans="2:6" x14ac:dyDescent="0.3">
      <c r="B238" s="38" t="s">
        <v>438</v>
      </c>
      <c r="C238" s="38" t="s">
        <v>398</v>
      </c>
      <c r="D238" s="38" t="s">
        <v>436</v>
      </c>
      <c r="E238" s="38">
        <v>60</v>
      </c>
      <c r="F238" s="38">
        <v>727</v>
      </c>
    </row>
    <row r="239" spans="2:6" x14ac:dyDescent="0.3">
      <c r="B239" s="38" t="s">
        <v>404</v>
      </c>
      <c r="C239" s="38" t="s">
        <v>398</v>
      </c>
      <c r="D239" s="38" t="s">
        <v>399</v>
      </c>
      <c r="E239" s="38">
        <v>14</v>
      </c>
      <c r="F239" s="38">
        <v>158</v>
      </c>
    </row>
    <row r="240" spans="2:6" x14ac:dyDescent="0.3">
      <c r="B240" s="38" t="s">
        <v>759</v>
      </c>
      <c r="C240" s="38" t="s">
        <v>407</v>
      </c>
      <c r="D240" s="38" t="s">
        <v>751</v>
      </c>
      <c r="E240" s="38">
        <v>0</v>
      </c>
      <c r="F240" s="38">
        <v>0</v>
      </c>
    </row>
    <row r="241" spans="2:6" x14ac:dyDescent="0.3">
      <c r="B241" s="38" t="s">
        <v>668</v>
      </c>
      <c r="C241" s="38" t="s">
        <v>398</v>
      </c>
      <c r="D241" s="38" t="s">
        <v>664</v>
      </c>
      <c r="E241" s="38">
        <v>37</v>
      </c>
      <c r="F241" s="38">
        <v>399</v>
      </c>
    </row>
    <row r="242" spans="2:6" x14ac:dyDescent="0.3">
      <c r="B242" s="38" t="s">
        <v>718</v>
      </c>
      <c r="C242" s="38" t="s">
        <v>398</v>
      </c>
      <c r="D242" s="38" t="s">
        <v>713</v>
      </c>
      <c r="E242" s="38">
        <v>12</v>
      </c>
      <c r="F242" s="38">
        <v>84</v>
      </c>
    </row>
    <row r="243" spans="2:6" x14ac:dyDescent="0.3">
      <c r="B243" s="38" t="s">
        <v>689</v>
      </c>
      <c r="C243" s="38" t="s">
        <v>398</v>
      </c>
      <c r="D243" s="38" t="s">
        <v>690</v>
      </c>
      <c r="E243" s="38">
        <v>73</v>
      </c>
      <c r="F243" s="38">
        <v>967</v>
      </c>
    </row>
    <row r="244" spans="2:6" x14ac:dyDescent="0.3">
      <c r="B244" s="38" t="s">
        <v>675</v>
      </c>
      <c r="C244" s="38" t="s">
        <v>407</v>
      </c>
      <c r="D244" s="38" t="s">
        <v>664</v>
      </c>
      <c r="E244" s="38">
        <v>0</v>
      </c>
      <c r="F244" s="38">
        <v>0</v>
      </c>
    </row>
    <row r="245" spans="2:6" x14ac:dyDescent="0.3">
      <c r="B245" s="38"/>
      <c r="C245" s="38"/>
      <c r="D245" s="38"/>
      <c r="E245" s="38"/>
      <c r="F245" s="38"/>
    </row>
    <row r="246" spans="2:6" x14ac:dyDescent="0.3">
      <c r="B246" s="38" t="s">
        <v>609</v>
      </c>
      <c r="C246" s="38" t="s">
        <v>407</v>
      </c>
      <c r="D246" s="38" t="s">
        <v>601</v>
      </c>
      <c r="E246" s="38">
        <v>21</v>
      </c>
      <c r="F246" s="38">
        <v>201</v>
      </c>
    </row>
    <row r="247" spans="2:6" x14ac:dyDescent="0.3">
      <c r="B247" s="38" t="s">
        <v>622</v>
      </c>
      <c r="C247" s="38" t="s">
        <v>407</v>
      </c>
      <c r="D247" s="38" t="s">
        <v>614</v>
      </c>
      <c r="E247" s="38">
        <v>20</v>
      </c>
      <c r="F247" s="38">
        <v>197</v>
      </c>
    </row>
    <row r="248" spans="2:6" x14ac:dyDescent="0.3">
      <c r="B248" s="38" t="s">
        <v>504</v>
      </c>
      <c r="C248" s="38" t="s">
        <v>407</v>
      </c>
      <c r="D248" s="38" t="s">
        <v>499</v>
      </c>
      <c r="E248" s="38">
        <v>42</v>
      </c>
      <c r="F248" s="38">
        <v>487</v>
      </c>
    </row>
    <row r="249" spans="2:6" x14ac:dyDescent="0.3">
      <c r="B249" s="38" t="s">
        <v>559</v>
      </c>
      <c r="C249" s="38" t="s">
        <v>407</v>
      </c>
      <c r="D249" s="38" t="s">
        <v>548</v>
      </c>
      <c r="E249" s="38">
        <v>2</v>
      </c>
      <c r="F249" s="38">
        <v>4</v>
      </c>
    </row>
    <row r="250" spans="2:6" x14ac:dyDescent="0.3">
      <c r="B250" s="38" t="s">
        <v>784</v>
      </c>
      <c r="C250" s="38" t="s">
        <v>398</v>
      </c>
      <c r="D250" s="38" t="s">
        <v>785</v>
      </c>
      <c r="E250" s="38">
        <v>78</v>
      </c>
      <c r="F250" s="38">
        <v>1164</v>
      </c>
    </row>
    <row r="251" spans="2:6" x14ac:dyDescent="0.3">
      <c r="B251" s="38" t="s">
        <v>523</v>
      </c>
      <c r="C251" s="38" t="s">
        <v>398</v>
      </c>
      <c r="D251" s="38" t="s">
        <v>524</v>
      </c>
      <c r="E251" s="38">
        <v>86</v>
      </c>
      <c r="F251" s="38">
        <v>1196</v>
      </c>
    </row>
    <row r="252" spans="2:6" x14ac:dyDescent="0.3">
      <c r="B252" s="38" t="s">
        <v>789</v>
      </c>
      <c r="C252" s="38" t="s">
        <v>398</v>
      </c>
      <c r="D252" s="38" t="s">
        <v>785</v>
      </c>
      <c r="E252" s="38">
        <v>12</v>
      </c>
      <c r="F252" s="38">
        <v>131</v>
      </c>
    </row>
    <row r="253" spans="2:6" x14ac:dyDescent="0.3">
      <c r="B253" s="38" t="s">
        <v>750</v>
      </c>
      <c r="C253" s="38" t="s">
        <v>398</v>
      </c>
      <c r="D253" s="38" t="s">
        <v>751</v>
      </c>
      <c r="E253" s="38">
        <v>67</v>
      </c>
      <c r="F253" s="38">
        <v>927</v>
      </c>
    </row>
    <row r="254" spans="2:6" x14ac:dyDescent="0.3">
      <c r="B254" s="38" t="s">
        <v>491</v>
      </c>
      <c r="C254" s="38" t="s">
        <v>398</v>
      </c>
      <c r="D254" s="38" t="s">
        <v>487</v>
      </c>
      <c r="E254" s="38">
        <v>11</v>
      </c>
      <c r="F254" s="38">
        <v>135</v>
      </c>
    </row>
    <row r="255" spans="2:6" x14ac:dyDescent="0.3">
      <c r="B255" s="38" t="s">
        <v>676</v>
      </c>
      <c r="C255" s="38" t="s">
        <v>407</v>
      </c>
      <c r="D255" s="38" t="s">
        <v>664</v>
      </c>
      <c r="E255" s="38">
        <v>0</v>
      </c>
      <c r="F255" s="38">
        <v>4</v>
      </c>
    </row>
    <row r="256" spans="2:6" x14ac:dyDescent="0.3">
      <c r="B256" s="38" t="s">
        <v>480</v>
      </c>
      <c r="C256" s="38" t="s">
        <v>398</v>
      </c>
      <c r="D256" s="38" t="s">
        <v>475</v>
      </c>
      <c r="E256" s="38">
        <v>3</v>
      </c>
      <c r="F256" s="38">
        <v>49</v>
      </c>
    </row>
    <row r="257" spans="2:6" x14ac:dyDescent="0.3">
      <c r="B257" s="38" t="s">
        <v>603</v>
      </c>
      <c r="C257" s="38" t="s">
        <v>398</v>
      </c>
      <c r="D257" s="38" t="s">
        <v>601</v>
      </c>
      <c r="E257" s="38">
        <v>22</v>
      </c>
      <c r="F257" s="38">
        <v>434</v>
      </c>
    </row>
    <row r="258" spans="2:6" x14ac:dyDescent="0.3">
      <c r="B258" s="38" t="s">
        <v>646</v>
      </c>
      <c r="C258" s="38" t="s">
        <v>407</v>
      </c>
      <c r="D258" s="38" t="s">
        <v>639</v>
      </c>
      <c r="E258" s="38">
        <v>9</v>
      </c>
      <c r="F258" s="38">
        <v>79</v>
      </c>
    </row>
    <row r="259" spans="2:6" x14ac:dyDescent="0.3">
      <c r="B259" s="38" t="s">
        <v>454</v>
      </c>
      <c r="C259" s="38" t="s">
        <v>398</v>
      </c>
      <c r="D259" s="38" t="s">
        <v>448</v>
      </c>
      <c r="E259" s="38">
        <v>4</v>
      </c>
      <c r="F259" s="38">
        <v>38</v>
      </c>
    </row>
    <row r="260" spans="2:6" x14ac:dyDescent="0.3">
      <c r="B260" s="38" t="s">
        <v>672</v>
      </c>
      <c r="C260" s="38" t="s">
        <v>407</v>
      </c>
      <c r="D260" s="38" t="s">
        <v>664</v>
      </c>
      <c r="E260" s="38">
        <v>35</v>
      </c>
      <c r="F260" s="38">
        <v>401</v>
      </c>
    </row>
    <row r="261" spans="2:6" x14ac:dyDescent="0.3">
      <c r="B261" s="38" t="s">
        <v>576</v>
      </c>
      <c r="C261" s="38" t="s">
        <v>398</v>
      </c>
      <c r="D261" s="38" t="s">
        <v>574</v>
      </c>
      <c r="E261" s="38">
        <v>48</v>
      </c>
      <c r="F261" s="38">
        <v>654</v>
      </c>
    </row>
    <row r="262" spans="2:6" x14ac:dyDescent="0.3">
      <c r="B262" s="38" t="s">
        <v>781</v>
      </c>
      <c r="C262" s="38" t="s">
        <v>407</v>
      </c>
      <c r="D262" s="38" t="s">
        <v>774</v>
      </c>
      <c r="E262" s="38">
        <v>0</v>
      </c>
      <c r="F262" s="38">
        <v>0</v>
      </c>
    </row>
    <row r="263" spans="2:6" x14ac:dyDescent="0.3">
      <c r="B263" s="38" t="s">
        <v>731</v>
      </c>
      <c r="C263" s="38" t="s">
        <v>398</v>
      </c>
      <c r="D263" s="38" t="s">
        <v>726</v>
      </c>
      <c r="E263" s="38">
        <v>21</v>
      </c>
      <c r="F263" s="38">
        <v>198</v>
      </c>
    </row>
    <row r="264" spans="2:6" x14ac:dyDescent="0.3">
      <c r="B264" s="38" t="s">
        <v>647</v>
      </c>
      <c r="C264" s="38" t="s">
        <v>407</v>
      </c>
      <c r="D264" s="38" t="s">
        <v>639</v>
      </c>
      <c r="E264" s="38">
        <v>5</v>
      </c>
      <c r="F264" s="38">
        <v>37</v>
      </c>
    </row>
    <row r="265" spans="2:6" x14ac:dyDescent="0.3">
      <c r="B265" s="38" t="s">
        <v>756</v>
      </c>
      <c r="C265" s="38" t="s">
        <v>407</v>
      </c>
      <c r="D265" s="38" t="s">
        <v>751</v>
      </c>
      <c r="E265" s="38">
        <v>28</v>
      </c>
      <c r="F265" s="38">
        <v>264</v>
      </c>
    </row>
    <row r="266" spans="2:6" x14ac:dyDescent="0.3">
      <c r="B266" s="38"/>
      <c r="C266" s="38"/>
      <c r="D266" s="38"/>
      <c r="E266" s="38"/>
      <c r="F266" s="38"/>
    </row>
    <row r="267" spans="2:6" x14ac:dyDescent="0.3">
      <c r="B267" s="38" t="s">
        <v>589</v>
      </c>
      <c r="C267" s="38" t="s">
        <v>398</v>
      </c>
      <c r="D267" s="38" t="s">
        <v>588</v>
      </c>
      <c r="E267" s="38">
        <v>63</v>
      </c>
      <c r="F267" s="38">
        <v>805</v>
      </c>
    </row>
    <row r="268" spans="2:6" x14ac:dyDescent="0.3">
      <c r="B268" s="38" t="s">
        <v>626</v>
      </c>
      <c r="C268" s="38" t="s">
        <v>398</v>
      </c>
      <c r="D268" s="38" t="s">
        <v>627</v>
      </c>
      <c r="E268" s="38">
        <v>92</v>
      </c>
      <c r="F268" s="38">
        <v>1194</v>
      </c>
    </row>
    <row r="269" spans="2:6" x14ac:dyDescent="0.3">
      <c r="B269" s="38" t="s">
        <v>496</v>
      </c>
      <c r="C269" s="38" t="s">
        <v>407</v>
      </c>
      <c r="D269" s="38" t="s">
        <v>487</v>
      </c>
      <c r="E269" s="38">
        <v>1</v>
      </c>
      <c r="F269" s="38">
        <v>9</v>
      </c>
    </row>
    <row r="270" spans="2:6" x14ac:dyDescent="0.3">
      <c r="B270" s="38" t="s">
        <v>616</v>
      </c>
      <c r="C270" s="38" t="s">
        <v>398</v>
      </c>
      <c r="D270" s="38" t="s">
        <v>614</v>
      </c>
      <c r="E270" s="38">
        <v>33</v>
      </c>
      <c r="F270" s="38">
        <v>349</v>
      </c>
    </row>
    <row r="271" spans="2:6" x14ac:dyDescent="0.3">
      <c r="B271" s="38" t="s">
        <v>497</v>
      </c>
      <c r="C271" s="38" t="s">
        <v>407</v>
      </c>
      <c r="D271" s="38" t="s">
        <v>487</v>
      </c>
      <c r="E271" s="38">
        <v>0</v>
      </c>
      <c r="F271" s="38">
        <v>0</v>
      </c>
    </row>
    <row r="272" spans="2:6" x14ac:dyDescent="0.3">
      <c r="B272" s="38" t="s">
        <v>720</v>
      </c>
      <c r="C272" s="38" t="s">
        <v>407</v>
      </c>
      <c r="D272" s="38" t="s">
        <v>713</v>
      </c>
      <c r="E272" s="38">
        <v>22</v>
      </c>
      <c r="F272" s="38">
        <v>223</v>
      </c>
    </row>
    <row r="273" spans="2:6" x14ac:dyDescent="0.3">
      <c r="B273" s="38" t="s">
        <v>532</v>
      </c>
      <c r="C273" s="38" t="s">
        <v>407</v>
      </c>
      <c r="D273" s="38" t="s">
        <v>524</v>
      </c>
      <c r="E273" s="38">
        <v>0</v>
      </c>
      <c r="F273" s="38">
        <v>0</v>
      </c>
    </row>
    <row r="274" spans="2:6" x14ac:dyDescent="0.3">
      <c r="B274" s="38" t="s">
        <v>424</v>
      </c>
      <c r="C274" s="38" t="s">
        <v>398</v>
      </c>
      <c r="D274" s="38" t="s">
        <v>425</v>
      </c>
      <c r="E274" s="38">
        <v>84</v>
      </c>
      <c r="F274" s="38">
        <v>1253</v>
      </c>
    </row>
    <row r="275" spans="2:6" x14ac:dyDescent="0.3">
      <c r="B275" s="38" t="s">
        <v>748</v>
      </c>
      <c r="C275" s="38" t="s">
        <v>407</v>
      </c>
      <c r="D275" s="38" t="s">
        <v>739</v>
      </c>
      <c r="E275" s="38">
        <v>4</v>
      </c>
      <c r="F275" s="38">
        <v>37</v>
      </c>
    </row>
    <row r="276" spans="2:6" x14ac:dyDescent="0.3">
      <c r="B276" s="38" t="s">
        <v>773</v>
      </c>
      <c r="C276" s="38" t="s">
        <v>398</v>
      </c>
      <c r="D276" s="38" t="s">
        <v>774</v>
      </c>
      <c r="E276" s="38">
        <v>58</v>
      </c>
      <c r="F276" s="38">
        <v>774</v>
      </c>
    </row>
    <row r="277" spans="2:6" x14ac:dyDescent="0.3">
      <c r="B277" s="38" t="s">
        <v>553</v>
      </c>
      <c r="C277" s="38" t="s">
        <v>398</v>
      </c>
      <c r="D277" s="38" t="s">
        <v>548</v>
      </c>
      <c r="E277" s="38">
        <v>11</v>
      </c>
      <c r="F277" s="38">
        <v>221</v>
      </c>
    </row>
    <row r="278" spans="2:6" x14ac:dyDescent="0.3">
      <c r="B278" s="38" t="s">
        <v>724</v>
      </c>
      <c r="C278" s="38" t="s">
        <v>407</v>
      </c>
      <c r="D278" s="38" t="s">
        <v>713</v>
      </c>
      <c r="E278" s="38">
        <v>0</v>
      </c>
      <c r="F278" s="38">
        <v>0</v>
      </c>
    </row>
    <row r="279" spans="2:6" x14ac:dyDescent="0.3">
      <c r="B279" s="38" t="s">
        <v>507</v>
      </c>
      <c r="C279" s="38" t="s">
        <v>407</v>
      </c>
      <c r="D279" s="38" t="s">
        <v>499</v>
      </c>
      <c r="E279" s="38">
        <v>4</v>
      </c>
      <c r="F279" s="38">
        <v>32</v>
      </c>
    </row>
    <row r="280" spans="2:6" x14ac:dyDescent="0.3">
      <c r="B280" s="38" t="s">
        <v>445</v>
      </c>
      <c r="C280" s="38" t="s">
        <v>407</v>
      </c>
      <c r="D280" s="38" t="s">
        <v>436</v>
      </c>
      <c r="E280" s="38">
        <v>0</v>
      </c>
      <c r="F280" s="38">
        <v>0</v>
      </c>
    </row>
    <row r="281" spans="2:6" x14ac:dyDescent="0.3">
      <c r="B281" s="38" t="s">
        <v>441</v>
      </c>
      <c r="C281" s="38" t="s">
        <v>398</v>
      </c>
      <c r="D281" s="38" t="s">
        <v>436</v>
      </c>
      <c r="E281" s="38">
        <v>10</v>
      </c>
      <c r="F281" s="38">
        <v>98</v>
      </c>
    </row>
    <row r="282" spans="2:6" x14ac:dyDescent="0.3">
      <c r="B282" s="38" t="s">
        <v>612</v>
      </c>
      <c r="C282" s="38" t="s">
        <v>407</v>
      </c>
      <c r="D282" s="38" t="s">
        <v>601</v>
      </c>
      <c r="E282" s="38">
        <v>0</v>
      </c>
      <c r="F282" s="38">
        <v>0</v>
      </c>
    </row>
    <row r="283" spans="2:6" x14ac:dyDescent="0.3">
      <c r="B283" s="38" t="s">
        <v>688</v>
      </c>
      <c r="C283" s="38" t="s">
        <v>407</v>
      </c>
      <c r="D283" s="38" t="s">
        <v>678</v>
      </c>
      <c r="E283" s="38">
        <v>0</v>
      </c>
      <c r="F283" s="38">
        <v>0</v>
      </c>
    </row>
    <row r="284" spans="2:6" x14ac:dyDescent="0.3">
      <c r="B284" s="38" t="s">
        <v>746</v>
      </c>
      <c r="C284" s="38" t="s">
        <v>407</v>
      </c>
      <c r="D284" s="38" t="s">
        <v>739</v>
      </c>
      <c r="E284" s="38">
        <v>14</v>
      </c>
      <c r="F284" s="38">
        <v>122</v>
      </c>
    </row>
    <row r="285" spans="2:6" x14ac:dyDescent="0.3">
      <c r="B285" s="38" t="s">
        <v>411</v>
      </c>
      <c r="C285" s="38" t="s">
        <v>407</v>
      </c>
      <c r="D285" s="38" t="s">
        <v>399</v>
      </c>
      <c r="E285" s="38">
        <v>2</v>
      </c>
      <c r="F285" s="38">
        <v>29</v>
      </c>
    </row>
    <row r="286" spans="2:6" x14ac:dyDescent="0.3">
      <c r="B286" s="38" t="s">
        <v>666</v>
      </c>
      <c r="C286" s="38" t="s">
        <v>398</v>
      </c>
      <c r="D286" s="38" t="s">
        <v>664</v>
      </c>
      <c r="E286" s="38">
        <v>61</v>
      </c>
      <c r="F286" s="38">
        <v>789</v>
      </c>
    </row>
    <row r="287" spans="2:6" x14ac:dyDescent="0.3">
      <c r="B287" s="38"/>
      <c r="C287" s="38"/>
      <c r="D287" s="38"/>
      <c r="E287" s="38"/>
      <c r="F287" s="38"/>
    </row>
    <row r="288" spans="2:6" x14ac:dyDescent="0.3">
      <c r="B288" s="38" t="s">
        <v>573</v>
      </c>
      <c r="C288" s="38" t="s">
        <v>398</v>
      </c>
      <c r="D288" s="38" t="s">
        <v>574</v>
      </c>
      <c r="E288" s="38">
        <v>74</v>
      </c>
      <c r="F288" s="38">
        <v>1132</v>
      </c>
    </row>
    <row r="289" spans="2:6" x14ac:dyDescent="0.3">
      <c r="B289" s="38" t="s">
        <v>682</v>
      </c>
      <c r="C289" s="38" t="s">
        <v>398</v>
      </c>
      <c r="D289" s="38" t="s">
        <v>678</v>
      </c>
      <c r="E289" s="38">
        <v>8</v>
      </c>
      <c r="F289" s="38">
        <v>72</v>
      </c>
    </row>
    <row r="290" spans="2:6" x14ac:dyDescent="0.3">
      <c r="B290" s="38" t="s">
        <v>434</v>
      </c>
      <c r="C290" s="38" t="s">
        <v>407</v>
      </c>
      <c r="D290" s="38" t="s">
        <v>425</v>
      </c>
      <c r="E290" s="38">
        <v>2</v>
      </c>
      <c r="F290" s="38">
        <v>23</v>
      </c>
    </row>
    <row r="291" spans="2:6" x14ac:dyDescent="0.3">
      <c r="B291" s="38" t="s">
        <v>554</v>
      </c>
      <c r="C291" s="38" t="s">
        <v>398</v>
      </c>
      <c r="D291" s="38" t="s">
        <v>548</v>
      </c>
      <c r="E291" s="38">
        <v>12</v>
      </c>
      <c r="F291" s="38">
        <v>142</v>
      </c>
    </row>
    <row r="292" spans="2:6" x14ac:dyDescent="0.3">
      <c r="B292" s="38" t="s">
        <v>459</v>
      </c>
      <c r="C292" s="38" t="s">
        <v>407</v>
      </c>
      <c r="D292" s="38" t="s">
        <v>448</v>
      </c>
      <c r="E292" s="38">
        <v>0</v>
      </c>
      <c r="F292" s="38">
        <v>0</v>
      </c>
    </row>
    <row r="293" spans="2:6" x14ac:dyDescent="0.3">
      <c r="B293" s="38" t="s">
        <v>453</v>
      </c>
      <c r="C293" s="38" t="s">
        <v>398</v>
      </c>
      <c r="D293" s="38" t="s">
        <v>448</v>
      </c>
      <c r="E293" s="38">
        <v>9</v>
      </c>
      <c r="F293" s="38">
        <v>74</v>
      </c>
    </row>
    <row r="294" spans="2:6" x14ac:dyDescent="0.3">
      <c r="B294" s="38" t="s">
        <v>693</v>
      </c>
      <c r="C294" s="38" t="s">
        <v>398</v>
      </c>
      <c r="D294" s="38" t="s">
        <v>690</v>
      </c>
      <c r="E294" s="38">
        <v>15</v>
      </c>
      <c r="F294" s="38">
        <v>202</v>
      </c>
    </row>
    <row r="295" spans="2:6" x14ac:dyDescent="0.3">
      <c r="B295" s="38" t="s">
        <v>460</v>
      </c>
      <c r="C295" s="38" t="s">
        <v>407</v>
      </c>
      <c r="D295" s="38" t="s">
        <v>448</v>
      </c>
      <c r="E295" s="38">
        <v>0</v>
      </c>
      <c r="F295" s="38">
        <v>0</v>
      </c>
    </row>
    <row r="296" spans="2:6" x14ac:dyDescent="0.3">
      <c r="B296" s="38" t="s">
        <v>686</v>
      </c>
      <c r="C296" s="38" t="s">
        <v>407</v>
      </c>
      <c r="D296" s="38" t="s">
        <v>678</v>
      </c>
      <c r="E296" s="38">
        <v>8</v>
      </c>
      <c r="F296" s="38">
        <v>38</v>
      </c>
    </row>
    <row r="297" spans="2:6" x14ac:dyDescent="0.3">
      <c r="B297" s="38" t="s">
        <v>767</v>
      </c>
      <c r="C297" s="38" t="s">
        <v>398</v>
      </c>
      <c r="D297" s="38" t="s">
        <v>762</v>
      </c>
      <c r="E297" s="38">
        <v>4</v>
      </c>
      <c r="F297" s="38">
        <v>60</v>
      </c>
    </row>
    <row r="298" spans="2:6" x14ac:dyDescent="0.3">
      <c r="B298" s="38" t="s">
        <v>775</v>
      </c>
      <c r="C298" s="38" t="s">
        <v>398</v>
      </c>
      <c r="D298" s="38" t="s">
        <v>774</v>
      </c>
      <c r="E298" s="38">
        <v>44</v>
      </c>
      <c r="F298" s="38">
        <v>577</v>
      </c>
    </row>
    <row r="299" spans="2:6" x14ac:dyDescent="0.3">
      <c r="B299" s="38" t="s">
        <v>715</v>
      </c>
      <c r="C299" s="38" t="s">
        <v>398</v>
      </c>
      <c r="D299" s="38" t="s">
        <v>713</v>
      </c>
      <c r="E299" s="38">
        <v>50</v>
      </c>
      <c r="F299" s="38">
        <v>548</v>
      </c>
    </row>
    <row r="300" spans="2:6" x14ac:dyDescent="0.3">
      <c r="B300" s="38" t="s">
        <v>534</v>
      </c>
      <c r="C300" s="38" t="s">
        <v>398</v>
      </c>
      <c r="D300" s="38" t="s">
        <v>535</v>
      </c>
      <c r="E300" s="38">
        <v>74</v>
      </c>
      <c r="F300" s="38">
        <v>1057</v>
      </c>
    </row>
    <row r="301" spans="2:6" x14ac:dyDescent="0.3">
      <c r="B301" s="38" t="s">
        <v>692</v>
      </c>
      <c r="C301" s="38" t="s">
        <v>398</v>
      </c>
      <c r="D301" s="38" t="s">
        <v>690</v>
      </c>
      <c r="E301" s="38">
        <v>47</v>
      </c>
      <c r="F301" s="38">
        <v>611</v>
      </c>
    </row>
    <row r="302" spans="2:6" x14ac:dyDescent="0.3">
      <c r="B302" s="38" t="s">
        <v>517</v>
      </c>
      <c r="C302" s="38" t="s">
        <v>398</v>
      </c>
      <c r="D302" s="38" t="s">
        <v>510</v>
      </c>
      <c r="E302" s="38">
        <v>1</v>
      </c>
      <c r="F302" s="38">
        <v>17</v>
      </c>
    </row>
    <row r="303" spans="2:6" x14ac:dyDescent="0.3">
      <c r="B303" s="38" t="s">
        <v>765</v>
      </c>
      <c r="C303" s="38" t="s">
        <v>398</v>
      </c>
      <c r="D303" s="38" t="s">
        <v>762</v>
      </c>
      <c r="E303" s="38">
        <v>20</v>
      </c>
      <c r="F303" s="38">
        <v>268</v>
      </c>
    </row>
    <row r="304" spans="2:6" x14ac:dyDescent="0.3">
      <c r="B304" s="38" t="s">
        <v>595</v>
      </c>
      <c r="C304" s="38" t="s">
        <v>407</v>
      </c>
      <c r="D304" s="38" t="s">
        <v>588</v>
      </c>
      <c r="E304" s="38">
        <v>65</v>
      </c>
      <c r="F304" s="38">
        <v>682</v>
      </c>
    </row>
    <row r="305" spans="2:6" x14ac:dyDescent="0.3">
      <c r="B305" s="38" t="s">
        <v>509</v>
      </c>
      <c r="C305" s="38" t="s">
        <v>398</v>
      </c>
      <c r="D305" s="38" t="s">
        <v>510</v>
      </c>
      <c r="E305" s="38">
        <v>93</v>
      </c>
      <c r="F305" s="38">
        <v>1311</v>
      </c>
    </row>
    <row r="306" spans="2:6" x14ac:dyDescent="0.3">
      <c r="B306" s="38" t="s">
        <v>451</v>
      </c>
      <c r="C306" s="38" t="s">
        <v>398</v>
      </c>
      <c r="D306" s="38" t="s">
        <v>448</v>
      </c>
      <c r="E306" s="38">
        <v>31</v>
      </c>
      <c r="F306" s="38">
        <v>336</v>
      </c>
    </row>
    <row r="307" spans="2:6" x14ac:dyDescent="0.3">
      <c r="B307" s="38" t="s">
        <v>476</v>
      </c>
      <c r="C307" s="38" t="s">
        <v>398</v>
      </c>
      <c r="D307" s="38" t="s">
        <v>475</v>
      </c>
      <c r="E307" s="38">
        <v>51</v>
      </c>
      <c r="F307" s="38">
        <v>796</v>
      </c>
    </row>
    <row r="308" spans="2:6" x14ac:dyDescent="0.3">
      <c r="B308" s="38" t="s">
        <v>501</v>
      </c>
      <c r="C308" s="38" t="s">
        <v>398</v>
      </c>
      <c r="D308" s="38" t="s">
        <v>499</v>
      </c>
      <c r="E308" s="38">
        <v>37</v>
      </c>
      <c r="F308" s="38">
        <v>467</v>
      </c>
    </row>
    <row r="309" spans="2:6" x14ac:dyDescent="0.3">
      <c r="B309" s="38" t="s">
        <v>721</v>
      </c>
      <c r="C309" s="38" t="s">
        <v>407</v>
      </c>
      <c r="D309" s="38" t="s">
        <v>713</v>
      </c>
      <c r="E309" s="38">
        <v>15</v>
      </c>
      <c r="F309" s="38">
        <v>114</v>
      </c>
    </row>
    <row r="310" spans="2:6" x14ac:dyDescent="0.3">
      <c r="B310" s="38" t="s">
        <v>790</v>
      </c>
      <c r="C310" s="38" t="s">
        <v>398</v>
      </c>
      <c r="D310" s="38" t="s">
        <v>785</v>
      </c>
      <c r="E310" s="38">
        <v>9</v>
      </c>
      <c r="F310" s="38">
        <v>78</v>
      </c>
    </row>
    <row r="311" spans="2:6" x14ac:dyDescent="0.3">
      <c r="B311" s="38" t="s">
        <v>644</v>
      </c>
      <c r="C311" s="38" t="s">
        <v>398</v>
      </c>
      <c r="D311" s="38" t="s">
        <v>639</v>
      </c>
      <c r="E311" s="38">
        <v>10</v>
      </c>
      <c r="F311" s="38">
        <v>112</v>
      </c>
    </row>
    <row r="312" spans="2:6" x14ac:dyDescent="0.3">
      <c r="B312" s="38" t="s">
        <v>628</v>
      </c>
      <c r="C312" s="38" t="s">
        <v>398</v>
      </c>
      <c r="D312" s="38" t="s">
        <v>627</v>
      </c>
      <c r="E312" s="38">
        <v>75</v>
      </c>
      <c r="F312" s="38">
        <v>1159</v>
      </c>
    </row>
    <row r="313" spans="2:6" x14ac:dyDescent="0.3">
      <c r="B313" s="38" t="s">
        <v>615</v>
      </c>
      <c r="C313" s="38" t="s">
        <v>398</v>
      </c>
      <c r="D313" s="38" t="s">
        <v>614</v>
      </c>
      <c r="E313" s="38">
        <v>58</v>
      </c>
      <c r="F313" s="38">
        <v>737</v>
      </c>
    </row>
    <row r="314" spans="2:6" x14ac:dyDescent="0.3">
      <c r="B314" s="38" t="s">
        <v>584</v>
      </c>
      <c r="C314" s="38" t="s">
        <v>407</v>
      </c>
      <c r="D314" s="38" t="s">
        <v>574</v>
      </c>
      <c r="E314" s="38">
        <v>9</v>
      </c>
      <c r="F314" s="38">
        <v>76</v>
      </c>
    </row>
    <row r="315" spans="2:6" x14ac:dyDescent="0.3">
      <c r="B315" s="38" t="s">
        <v>521</v>
      </c>
      <c r="C315" s="38" t="s">
        <v>407</v>
      </c>
      <c r="D315" s="38" t="s">
        <v>510</v>
      </c>
      <c r="E315" s="38">
        <v>9</v>
      </c>
      <c r="F315" s="38">
        <v>94</v>
      </c>
    </row>
    <row r="316" spans="2:6" x14ac:dyDescent="0.3">
      <c r="B316" s="38" t="s">
        <v>742</v>
      </c>
      <c r="C316" s="38" t="s">
        <v>398</v>
      </c>
      <c r="D316" s="38" t="s">
        <v>739</v>
      </c>
      <c r="E316" s="38">
        <v>37</v>
      </c>
      <c r="F316" s="38">
        <v>474</v>
      </c>
    </row>
    <row r="317" spans="2:6" x14ac:dyDescent="0.3">
      <c r="B317" s="38" t="s">
        <v>793</v>
      </c>
      <c r="C317" s="38" t="s">
        <v>407</v>
      </c>
      <c r="D317" s="38" t="s">
        <v>785</v>
      </c>
      <c r="E317" s="38">
        <v>0</v>
      </c>
      <c r="F317" s="38">
        <v>0</v>
      </c>
    </row>
    <row r="318" spans="2:6" x14ac:dyDescent="0.3">
      <c r="B318" s="38" t="s">
        <v>653</v>
      </c>
      <c r="C318" s="38" t="s">
        <v>398</v>
      </c>
      <c r="D318" s="38" t="s">
        <v>651</v>
      </c>
      <c r="E318" s="38">
        <v>29</v>
      </c>
      <c r="F318" s="38">
        <v>413</v>
      </c>
    </row>
    <row r="319" spans="2:6" x14ac:dyDescent="0.3">
      <c r="B319" s="38" t="s">
        <v>408</v>
      </c>
      <c r="C319" s="38" t="s">
        <v>407</v>
      </c>
      <c r="D319" s="38" t="s">
        <v>399</v>
      </c>
      <c r="E319" s="38">
        <v>8</v>
      </c>
      <c r="F319" s="38">
        <v>83</v>
      </c>
    </row>
    <row r="320" spans="2:6" x14ac:dyDescent="0.3">
      <c r="B320" s="38" t="s">
        <v>741</v>
      </c>
      <c r="C320" s="38" t="s">
        <v>398</v>
      </c>
      <c r="D320" s="38" t="s">
        <v>739</v>
      </c>
      <c r="E320" s="38">
        <v>57</v>
      </c>
      <c r="F320" s="38">
        <v>714</v>
      </c>
    </row>
    <row r="321" spans="2:6" x14ac:dyDescent="0.3">
      <c r="B321" s="38" t="s">
        <v>679</v>
      </c>
      <c r="C321" s="38" t="s">
        <v>398</v>
      </c>
      <c r="D321" s="38" t="s">
        <v>678</v>
      </c>
      <c r="E321" s="38">
        <v>78</v>
      </c>
      <c r="F321" s="38">
        <v>1055</v>
      </c>
    </row>
    <row r="322" spans="2:6" x14ac:dyDescent="0.3">
      <c r="B322" s="38" t="s">
        <v>758</v>
      </c>
      <c r="C322" s="38" t="s">
        <v>407</v>
      </c>
      <c r="D322" s="38" t="s">
        <v>751</v>
      </c>
      <c r="E322" s="38">
        <v>4</v>
      </c>
      <c r="F322" s="38">
        <v>31</v>
      </c>
    </row>
    <row r="323" spans="2:6" x14ac:dyDescent="0.3">
      <c r="B323" s="38" t="s">
        <v>778</v>
      </c>
      <c r="C323" s="38" t="s">
        <v>398</v>
      </c>
      <c r="D323" s="38" t="s">
        <v>774</v>
      </c>
      <c r="E323" s="38">
        <v>21</v>
      </c>
      <c r="F323" s="38">
        <v>267</v>
      </c>
    </row>
    <row r="324" spans="2:6" x14ac:dyDescent="0.3">
      <c r="B324" s="38" t="s">
        <v>443</v>
      </c>
      <c r="C324" s="38" t="s">
        <v>407</v>
      </c>
      <c r="D324" s="38" t="s">
        <v>436</v>
      </c>
      <c r="E324" s="38">
        <v>4</v>
      </c>
      <c r="F324" s="38">
        <v>28</v>
      </c>
    </row>
    <row r="325" spans="2:6" x14ac:dyDescent="0.3">
      <c r="B325" s="38" t="s">
        <v>732</v>
      </c>
      <c r="C325" s="38" t="s">
        <v>398</v>
      </c>
      <c r="D325" s="38" t="s">
        <v>726</v>
      </c>
      <c r="E325" s="38">
        <v>4</v>
      </c>
      <c r="F325" s="38">
        <v>42</v>
      </c>
    </row>
    <row r="326" spans="2:6" x14ac:dyDescent="0.3">
      <c r="B326" s="38" t="s">
        <v>512</v>
      </c>
      <c r="C326" s="38" t="s">
        <v>398</v>
      </c>
      <c r="D326" s="38" t="s">
        <v>510</v>
      </c>
      <c r="E326" s="38">
        <v>37</v>
      </c>
      <c r="F326" s="38">
        <v>486</v>
      </c>
    </row>
    <row r="327" spans="2:6" x14ac:dyDescent="0.3">
      <c r="B327" s="38" t="s">
        <v>753</v>
      </c>
      <c r="C327" s="38" t="s">
        <v>398</v>
      </c>
      <c r="D327" s="38" t="s">
        <v>751</v>
      </c>
      <c r="E327" s="38">
        <v>47</v>
      </c>
      <c r="F327" s="38">
        <v>526</v>
      </c>
    </row>
    <row r="328" spans="2:6" x14ac:dyDescent="0.3">
      <c r="B328" s="38" t="s">
        <v>663</v>
      </c>
      <c r="C328" s="38" t="s">
        <v>398</v>
      </c>
      <c r="D328" s="38" t="s">
        <v>664</v>
      </c>
      <c r="E328" s="38">
        <v>78</v>
      </c>
      <c r="F328" s="38">
        <v>1185</v>
      </c>
    </row>
    <row r="329" spans="2:6" x14ac:dyDescent="0.3">
      <c r="B329" s="38" t="s">
        <v>418</v>
      </c>
      <c r="C329" s="38" t="s">
        <v>398</v>
      </c>
      <c r="D329" s="38" t="s">
        <v>414</v>
      </c>
      <c r="E329" s="38">
        <v>11</v>
      </c>
      <c r="F329" s="38">
        <v>94</v>
      </c>
    </row>
    <row r="330" spans="2:6" x14ac:dyDescent="0.3">
      <c r="B330" s="38" t="s">
        <v>471</v>
      </c>
      <c r="C330" s="38" t="s">
        <v>407</v>
      </c>
      <c r="D330" s="38" t="s">
        <v>462</v>
      </c>
      <c r="E330" s="38">
        <v>8</v>
      </c>
      <c r="F330" s="38">
        <v>116</v>
      </c>
    </row>
    <row r="331" spans="2:6" x14ac:dyDescent="0.3">
      <c r="B331" s="38" t="s">
        <v>482</v>
      </c>
      <c r="C331" s="38" t="s">
        <v>407</v>
      </c>
      <c r="D331" s="38" t="s">
        <v>475</v>
      </c>
      <c r="E331" s="38">
        <v>6</v>
      </c>
      <c r="F331" s="38">
        <v>89</v>
      </c>
    </row>
    <row r="332" spans="2:6" x14ac:dyDescent="0.3">
      <c r="B332" s="38" t="s">
        <v>754</v>
      </c>
      <c r="C332" s="38" t="s">
        <v>398</v>
      </c>
      <c r="D332" s="38" t="s">
        <v>751</v>
      </c>
      <c r="E332" s="38">
        <v>14</v>
      </c>
      <c r="F332" s="38">
        <v>184</v>
      </c>
    </row>
    <row r="333" spans="2:6" x14ac:dyDescent="0.3">
      <c r="B333" s="38" t="s">
        <v>602</v>
      </c>
      <c r="C333" s="38" t="s">
        <v>398</v>
      </c>
      <c r="D333" s="38" t="s">
        <v>601</v>
      </c>
      <c r="E333" s="38">
        <v>45</v>
      </c>
      <c r="F333" s="38">
        <v>685</v>
      </c>
    </row>
    <row r="334" spans="2:6" x14ac:dyDescent="0.3">
      <c r="B334" s="38" t="s">
        <v>397</v>
      </c>
      <c r="C334" s="38" t="s">
        <v>398</v>
      </c>
      <c r="D334" s="38" t="s">
        <v>399</v>
      </c>
      <c r="E334" s="38">
        <v>67</v>
      </c>
      <c r="F334" s="38">
        <v>950</v>
      </c>
    </row>
    <row r="335" spans="2:6" x14ac:dyDescent="0.3">
      <c r="B335" s="38" t="s">
        <v>669</v>
      </c>
      <c r="C335" s="38" t="s">
        <v>398</v>
      </c>
      <c r="D335" s="38" t="s">
        <v>664</v>
      </c>
      <c r="E335" s="38">
        <v>3</v>
      </c>
      <c r="F335" s="38">
        <v>59</v>
      </c>
    </row>
    <row r="336" spans="2:6" x14ac:dyDescent="0.3">
      <c r="B336" s="38" t="s">
        <v>585</v>
      </c>
      <c r="C336" s="38" t="s">
        <v>407</v>
      </c>
      <c r="D336" s="38" t="s">
        <v>574</v>
      </c>
      <c r="E336" s="38">
        <v>6</v>
      </c>
      <c r="F336" s="38">
        <v>57</v>
      </c>
    </row>
    <row r="337" spans="2:6" x14ac:dyDescent="0.3">
      <c r="B337" s="38" t="s">
        <v>699</v>
      </c>
      <c r="C337" s="38" t="s">
        <v>407</v>
      </c>
      <c r="D337" s="38" t="s">
        <v>690</v>
      </c>
      <c r="E337" s="38">
        <v>0</v>
      </c>
      <c r="F337" s="38">
        <v>0</v>
      </c>
    </row>
    <row r="338" spans="2:6" x14ac:dyDescent="0.3">
      <c r="B338" s="38" t="s">
        <v>557</v>
      </c>
      <c r="C338" s="38" t="s">
        <v>407</v>
      </c>
      <c r="D338" s="38" t="s">
        <v>548</v>
      </c>
      <c r="E338" s="38">
        <v>21</v>
      </c>
      <c r="F338" s="38">
        <v>167</v>
      </c>
    </row>
    <row r="339" spans="2:6" x14ac:dyDescent="0.3">
      <c r="B339" s="38" t="s">
        <v>439</v>
      </c>
      <c r="C339" s="38" t="s">
        <v>398</v>
      </c>
      <c r="D339" s="38" t="s">
        <v>436</v>
      </c>
      <c r="E339" s="38">
        <v>41</v>
      </c>
      <c r="F339" s="38">
        <v>473</v>
      </c>
    </row>
    <row r="340" spans="2:6" x14ac:dyDescent="0.3">
      <c r="B340" s="38" t="s">
        <v>685</v>
      </c>
      <c r="C340" s="38" t="s">
        <v>407</v>
      </c>
      <c r="D340" s="38" t="s">
        <v>678</v>
      </c>
      <c r="E340" s="38">
        <v>38</v>
      </c>
      <c r="F340" s="38">
        <v>385</v>
      </c>
    </row>
    <row r="341" spans="2:6" x14ac:dyDescent="0.3">
      <c r="B341" s="38" t="s">
        <v>457</v>
      </c>
      <c r="C341" s="38" t="s">
        <v>407</v>
      </c>
      <c r="D341" s="38" t="s">
        <v>448</v>
      </c>
      <c r="E341" s="38">
        <v>12</v>
      </c>
      <c r="F341" s="38">
        <v>74</v>
      </c>
    </row>
    <row r="342" spans="2:6" x14ac:dyDescent="0.3">
      <c r="B342" s="38" t="s">
        <v>423</v>
      </c>
      <c r="C342" s="38" t="s">
        <v>407</v>
      </c>
      <c r="D342" s="38" t="s">
        <v>414</v>
      </c>
      <c r="E342" s="38">
        <v>0</v>
      </c>
      <c r="F342" s="38">
        <v>0</v>
      </c>
    </row>
    <row r="343" spans="2:6" x14ac:dyDescent="0.3">
      <c r="B343" s="38" t="s">
        <v>662</v>
      </c>
      <c r="C343" s="38" t="s">
        <v>407</v>
      </c>
      <c r="D343" s="38" t="s">
        <v>651</v>
      </c>
      <c r="E343" s="38">
        <v>0</v>
      </c>
      <c r="F343" s="38">
        <v>0</v>
      </c>
    </row>
    <row r="344" spans="2:6" x14ac:dyDescent="0.3">
      <c r="B344" s="38" t="s">
        <v>707</v>
      </c>
      <c r="C344" s="38" t="s">
        <v>407</v>
      </c>
      <c r="D344" s="38" t="s">
        <v>702</v>
      </c>
      <c r="E344" s="38">
        <v>26</v>
      </c>
      <c r="F344" s="38">
        <v>219</v>
      </c>
    </row>
    <row r="345" spans="2:6" x14ac:dyDescent="0.3">
      <c r="B345" s="38" t="s">
        <v>738</v>
      </c>
      <c r="C345" s="38" t="s">
        <v>398</v>
      </c>
      <c r="D345" s="38" t="s">
        <v>739</v>
      </c>
      <c r="E345" s="38">
        <v>81</v>
      </c>
      <c r="F345" s="38">
        <v>1124</v>
      </c>
    </row>
    <row r="346" spans="2:6" x14ac:dyDescent="0.3">
      <c r="B346" s="38" t="s">
        <v>714</v>
      </c>
      <c r="C346" s="38" t="s">
        <v>398</v>
      </c>
      <c r="D346" s="38" t="s">
        <v>713</v>
      </c>
      <c r="E346" s="38">
        <v>74</v>
      </c>
      <c r="F346" s="38">
        <v>956</v>
      </c>
    </row>
    <row r="347" spans="2:6" x14ac:dyDescent="0.3">
      <c r="B347" s="38" t="s">
        <v>667</v>
      </c>
      <c r="C347" s="38" t="s">
        <v>398</v>
      </c>
      <c r="D347" s="38" t="s">
        <v>664</v>
      </c>
      <c r="E347" s="38">
        <v>32</v>
      </c>
      <c r="F347" s="38">
        <v>349</v>
      </c>
    </row>
    <row r="348" spans="2:6" x14ac:dyDescent="0.3">
      <c r="B348" s="38" t="s">
        <v>552</v>
      </c>
      <c r="C348" s="38" t="s">
        <v>398</v>
      </c>
      <c r="D348" s="38" t="s">
        <v>548</v>
      </c>
      <c r="E348" s="38">
        <v>18</v>
      </c>
      <c r="F348" s="38">
        <v>234</v>
      </c>
    </row>
    <row r="349" spans="2:6" x14ac:dyDescent="0.3">
      <c r="B349" s="38" t="s">
        <v>403</v>
      </c>
      <c r="C349" s="38" t="s">
        <v>398</v>
      </c>
      <c r="D349" s="38" t="s">
        <v>399</v>
      </c>
      <c r="E349" s="38">
        <v>26</v>
      </c>
      <c r="F349" s="38">
        <v>275</v>
      </c>
    </row>
    <row r="350" spans="2:6" x14ac:dyDescent="0.3">
      <c r="B350" s="38"/>
      <c r="C350" s="38"/>
      <c r="D350" s="38"/>
      <c r="E350" s="38"/>
      <c r="F350" s="38"/>
    </row>
    <row r="351" spans="2:6" x14ac:dyDescent="0.3">
      <c r="B351" s="38" t="s">
        <v>498</v>
      </c>
      <c r="C351" s="38" t="s">
        <v>398</v>
      </c>
      <c r="D351" s="38" t="s">
        <v>499</v>
      </c>
      <c r="E351" s="38">
        <v>86</v>
      </c>
      <c r="F351" s="38">
        <v>1261</v>
      </c>
    </row>
    <row r="352" spans="2:6" x14ac:dyDescent="0.3">
      <c r="B352" s="38" t="s">
        <v>655</v>
      </c>
      <c r="C352" s="38" t="s">
        <v>398</v>
      </c>
      <c r="D352" s="38" t="s">
        <v>651</v>
      </c>
      <c r="E352" s="38">
        <v>16</v>
      </c>
      <c r="F352" s="38">
        <v>171</v>
      </c>
    </row>
    <row r="353" spans="2:6" x14ac:dyDescent="0.3">
      <c r="B353" s="38" t="s">
        <v>691</v>
      </c>
      <c r="C353" s="38" t="s">
        <v>398</v>
      </c>
      <c r="D353" s="38" t="s">
        <v>690</v>
      </c>
      <c r="E353" s="38">
        <v>57</v>
      </c>
      <c r="F353" s="38">
        <v>854</v>
      </c>
    </row>
    <row r="354" spans="2:6" x14ac:dyDescent="0.3">
      <c r="B354" s="38" t="s">
        <v>769</v>
      </c>
      <c r="C354" s="38" t="s">
        <v>407</v>
      </c>
      <c r="D354" s="38" t="s">
        <v>762</v>
      </c>
      <c r="E354" s="38">
        <v>18</v>
      </c>
      <c r="F354" s="38">
        <v>146</v>
      </c>
    </row>
    <row r="355" spans="2:6" x14ac:dyDescent="0.3">
      <c r="B355" s="38" t="s">
        <v>518</v>
      </c>
      <c r="C355" s="38" t="s">
        <v>407</v>
      </c>
      <c r="D355" s="38" t="s">
        <v>510</v>
      </c>
      <c r="E355" s="38">
        <v>25</v>
      </c>
      <c r="F355" s="38">
        <v>266</v>
      </c>
    </row>
    <row r="356" spans="2:6" x14ac:dyDescent="0.3">
      <c r="B356" s="38" t="s">
        <v>537</v>
      </c>
      <c r="C356" s="38" t="s">
        <v>398</v>
      </c>
      <c r="D356" s="38" t="s">
        <v>535</v>
      </c>
      <c r="E356" s="38">
        <v>32</v>
      </c>
      <c r="F356" s="38">
        <v>440</v>
      </c>
    </row>
    <row r="357" spans="2:6" x14ac:dyDescent="0.3">
      <c r="B357" s="38" t="s">
        <v>566</v>
      </c>
      <c r="C357" s="38" t="s">
        <v>398</v>
      </c>
      <c r="D357" s="38" t="s">
        <v>561</v>
      </c>
      <c r="E357" s="38">
        <v>13</v>
      </c>
      <c r="F357" s="38">
        <v>169</v>
      </c>
    </row>
    <row r="358" spans="2:6" x14ac:dyDescent="0.3">
      <c r="B358" s="38" t="s">
        <v>757</v>
      </c>
      <c r="C358" s="38" t="s">
        <v>407</v>
      </c>
      <c r="D358" s="38" t="s">
        <v>751</v>
      </c>
      <c r="E358" s="38">
        <v>13</v>
      </c>
      <c r="F358" s="38">
        <v>118</v>
      </c>
    </row>
    <row r="359" spans="2:6" x14ac:dyDescent="0.3">
      <c r="B359" s="38" t="s">
        <v>768</v>
      </c>
      <c r="C359" s="38" t="s">
        <v>407</v>
      </c>
      <c r="D359" s="38" t="s">
        <v>762</v>
      </c>
      <c r="E359" s="38">
        <v>61</v>
      </c>
      <c r="F359" s="38">
        <v>721</v>
      </c>
    </row>
    <row r="360" spans="2:6" x14ac:dyDescent="0.3">
      <c r="B360" s="38"/>
      <c r="C360" s="38"/>
      <c r="D360" s="38"/>
      <c r="E360" s="38"/>
      <c r="F360" s="38"/>
    </row>
    <row r="361" spans="2:6" x14ac:dyDescent="0.3">
      <c r="B361" s="38" t="s">
        <v>623</v>
      </c>
      <c r="C361" s="38" t="s">
        <v>407</v>
      </c>
      <c r="D361" s="38" t="s">
        <v>614</v>
      </c>
      <c r="E361" s="38">
        <v>15</v>
      </c>
      <c r="F361" s="38">
        <v>160</v>
      </c>
    </row>
    <row r="362" spans="2:6" x14ac:dyDescent="0.3">
      <c r="B362" s="38" t="s">
        <v>698</v>
      </c>
      <c r="C362" s="38" t="s">
        <v>407</v>
      </c>
      <c r="D362" s="38" t="s">
        <v>690</v>
      </c>
      <c r="E362" s="38">
        <v>0</v>
      </c>
      <c r="F362" s="38">
        <v>0</v>
      </c>
    </row>
    <row r="363" spans="2:6" x14ac:dyDescent="0.3">
      <c r="B363" s="38" t="s">
        <v>608</v>
      </c>
      <c r="C363" s="38" t="s">
        <v>407</v>
      </c>
      <c r="D363" s="38" t="s">
        <v>601</v>
      </c>
      <c r="E363" s="38">
        <v>75</v>
      </c>
      <c r="F363" s="38">
        <v>933</v>
      </c>
    </row>
    <row r="364" spans="2:6" x14ac:dyDescent="0.3">
      <c r="B364" s="38" t="s">
        <v>722</v>
      </c>
      <c r="C364" s="38" t="s">
        <v>407</v>
      </c>
      <c r="D364" s="38" t="s">
        <v>713</v>
      </c>
      <c r="E364" s="38">
        <v>11</v>
      </c>
      <c r="F364" s="38">
        <v>96</v>
      </c>
    </row>
    <row r="365" spans="2:6" x14ac:dyDescent="0.3">
      <c r="B365" s="38" t="s">
        <v>435</v>
      </c>
      <c r="C365" s="38" t="s">
        <v>398</v>
      </c>
      <c r="D365" s="38" t="s">
        <v>436</v>
      </c>
      <c r="E365" s="38">
        <v>96</v>
      </c>
      <c r="F365" s="38">
        <v>1384</v>
      </c>
    </row>
    <row r="366" spans="2:6" x14ac:dyDescent="0.3">
      <c r="B366" s="38" t="s">
        <v>577</v>
      </c>
      <c r="C366" s="38" t="s">
        <v>398</v>
      </c>
      <c r="D366" s="38" t="s">
        <v>574</v>
      </c>
      <c r="E366" s="38">
        <v>56</v>
      </c>
      <c r="F366" s="38">
        <v>713</v>
      </c>
    </row>
    <row r="367" spans="2:6" x14ac:dyDescent="0.3">
      <c r="B367" s="38"/>
      <c r="C367" s="38"/>
      <c r="D367" s="38"/>
      <c r="E367" s="38"/>
      <c r="F367" s="38"/>
    </row>
    <row r="368" spans="2:6" x14ac:dyDescent="0.3">
      <c r="B368" s="38" t="s">
        <v>683</v>
      </c>
      <c r="C368" s="38" t="s">
        <v>398</v>
      </c>
      <c r="D368" s="38" t="s">
        <v>678</v>
      </c>
      <c r="E368" s="38">
        <v>8</v>
      </c>
      <c r="F368" s="38">
        <v>73</v>
      </c>
    </row>
    <row r="369" spans="2:6" x14ac:dyDescent="0.3">
      <c r="B369" s="38" t="s">
        <v>565</v>
      </c>
      <c r="C369" s="38" t="s">
        <v>398</v>
      </c>
      <c r="D369" s="38" t="s">
        <v>561</v>
      </c>
      <c r="E369" s="38">
        <v>18</v>
      </c>
      <c r="F369" s="38">
        <v>181</v>
      </c>
    </row>
    <row r="370" spans="2:6" x14ac:dyDescent="0.3">
      <c r="B370" s="38" t="s">
        <v>618</v>
      </c>
      <c r="C370" s="38" t="s">
        <v>398</v>
      </c>
      <c r="D370" s="38" t="s">
        <v>614</v>
      </c>
      <c r="E370" s="38">
        <v>32</v>
      </c>
      <c r="F370" s="38">
        <v>372</v>
      </c>
    </row>
    <row r="371" spans="2:6" x14ac:dyDescent="0.3">
      <c r="B371" s="38" t="s">
        <v>630</v>
      </c>
      <c r="C371" s="38" t="s">
        <v>398</v>
      </c>
      <c r="D371" s="38" t="s">
        <v>627</v>
      </c>
      <c r="E371" s="38">
        <v>11</v>
      </c>
      <c r="F371" s="38">
        <v>134</v>
      </c>
    </row>
    <row r="372" spans="2:6" x14ac:dyDescent="0.3">
      <c r="B372" s="38" t="s">
        <v>575</v>
      </c>
      <c r="C372" s="38" t="s">
        <v>398</v>
      </c>
      <c r="D372" s="38" t="s">
        <v>574</v>
      </c>
      <c r="E372" s="38">
        <v>58</v>
      </c>
      <c r="F372" s="38">
        <v>794</v>
      </c>
    </row>
    <row r="373" spans="2:6" x14ac:dyDescent="0.3">
      <c r="B373" s="38" t="s">
        <v>415</v>
      </c>
      <c r="C373" s="38" t="s">
        <v>398</v>
      </c>
      <c r="D373" s="38" t="s">
        <v>414</v>
      </c>
      <c r="E373" s="38">
        <v>55</v>
      </c>
      <c r="F373" s="38">
        <v>852</v>
      </c>
    </row>
    <row r="374" spans="2:6" x14ac:dyDescent="0.3">
      <c r="B374" s="38" t="s">
        <v>479</v>
      </c>
      <c r="C374" s="38" t="s">
        <v>398</v>
      </c>
      <c r="D374" s="38" t="s">
        <v>475</v>
      </c>
      <c r="E374" s="38">
        <v>11</v>
      </c>
      <c r="F374" s="38">
        <v>123</v>
      </c>
    </row>
    <row r="375" spans="2:6" x14ac:dyDescent="0.3">
      <c r="B375" s="38" t="s">
        <v>543</v>
      </c>
      <c r="C375" s="38" t="s">
        <v>407</v>
      </c>
      <c r="D375" s="38" t="s">
        <v>535</v>
      </c>
      <c r="E375" s="38">
        <v>8</v>
      </c>
      <c r="F375" s="38">
        <v>42</v>
      </c>
    </row>
    <row r="376" spans="2:6" x14ac:dyDescent="0.3">
      <c r="B376" s="38" t="s">
        <v>495</v>
      </c>
      <c r="C376" s="38" t="s">
        <v>407</v>
      </c>
      <c r="D376" s="38" t="s">
        <v>487</v>
      </c>
      <c r="E376" s="38">
        <v>6</v>
      </c>
      <c r="F376" s="38">
        <v>58</v>
      </c>
    </row>
    <row r="377" spans="2:6" x14ac:dyDescent="0.3">
      <c r="B377" s="38" t="s">
        <v>526</v>
      </c>
      <c r="C377" s="38" t="s">
        <v>398</v>
      </c>
      <c r="D377" s="38" t="s">
        <v>524</v>
      </c>
      <c r="E377" s="38">
        <v>32</v>
      </c>
      <c r="F377" s="38">
        <v>413</v>
      </c>
    </row>
    <row r="378" spans="2:6" x14ac:dyDescent="0.3">
      <c r="B378" s="38" t="s">
        <v>432</v>
      </c>
      <c r="C378" s="38" t="s">
        <v>407</v>
      </c>
      <c r="D378" s="38" t="s">
        <v>425</v>
      </c>
      <c r="E378" s="38">
        <v>7</v>
      </c>
      <c r="F378" s="38">
        <v>56</v>
      </c>
    </row>
    <row r="379" spans="2:6" x14ac:dyDescent="0.3">
      <c r="B379" s="38" t="s">
        <v>539</v>
      </c>
      <c r="C379" s="38" t="s">
        <v>398</v>
      </c>
      <c r="D379" s="38" t="s">
        <v>535</v>
      </c>
      <c r="E379" s="38">
        <v>18</v>
      </c>
      <c r="F379" s="38">
        <v>197</v>
      </c>
    </row>
    <row r="380" spans="2:6" x14ac:dyDescent="0.3">
      <c r="B380" s="38"/>
      <c r="C380" s="38"/>
      <c r="D380" s="38"/>
      <c r="E380" s="38"/>
      <c r="F380" s="38"/>
    </row>
    <row r="381" spans="2:6" x14ac:dyDescent="0.3">
      <c r="B381" s="38" t="s">
        <v>541</v>
      </c>
      <c r="C381" s="38" t="s">
        <v>398</v>
      </c>
      <c r="D381" s="38" t="s">
        <v>535</v>
      </c>
      <c r="E381" s="38">
        <v>2</v>
      </c>
      <c r="F381" s="38">
        <v>23</v>
      </c>
    </row>
  </sheetData>
  <mergeCells count="3">
    <mergeCell ref="B7:B8"/>
    <mergeCell ref="B9:B10"/>
    <mergeCell ref="B11:B12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13"/>
  </sheetPr>
  <dimension ref="A1:S36"/>
  <sheetViews>
    <sheetView zoomScale="110" workbookViewId="0">
      <selection activeCell="C16" sqref="C16"/>
    </sheetView>
  </sheetViews>
  <sheetFormatPr defaultRowHeight="12.75" x14ac:dyDescent="0.2"/>
  <cols>
    <col min="1" max="1" width="4.140625" style="292" customWidth="1"/>
    <col min="2" max="2" width="32.5703125" style="292" customWidth="1"/>
    <col min="3" max="3" width="18" style="292" customWidth="1"/>
    <col min="4" max="4" width="22.85546875" style="292" customWidth="1"/>
    <col min="5" max="16384" width="9.140625" style="292"/>
  </cols>
  <sheetData>
    <row r="1" spans="1:18" x14ac:dyDescent="0.2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18" ht="18" x14ac:dyDescent="0.25">
      <c r="A2" s="293"/>
      <c r="B2" s="302" t="s">
        <v>1390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</row>
    <row r="3" spans="1:18" x14ac:dyDescent="0.2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</row>
    <row r="4" spans="1:18" x14ac:dyDescent="0.2">
      <c r="A4" s="293"/>
      <c r="B4" s="301" t="s">
        <v>1389</v>
      </c>
      <c r="C4" s="300" t="s">
        <v>1388</v>
      </c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</row>
    <row r="5" spans="1:18" x14ac:dyDescent="0.2">
      <c r="A5" s="293"/>
      <c r="B5" s="301" t="s">
        <v>1387</v>
      </c>
      <c r="C5" s="300" t="s">
        <v>1386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</row>
    <row r="6" spans="1:18" x14ac:dyDescent="0.2">
      <c r="A6" s="293"/>
      <c r="B6" s="301" t="s">
        <v>1385</v>
      </c>
      <c r="C6" s="300" t="s">
        <v>3077</v>
      </c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</row>
    <row r="7" spans="1:18" x14ac:dyDescent="0.2">
      <c r="A7" s="293"/>
      <c r="B7" s="301" t="s">
        <v>1384</v>
      </c>
      <c r="C7" s="300" t="s">
        <v>1383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</row>
    <row r="8" spans="1:18" x14ac:dyDescent="0.2">
      <c r="A8" s="293"/>
      <c r="B8" s="301" t="s">
        <v>1382</v>
      </c>
      <c r="C8" s="300" t="s">
        <v>3073</v>
      </c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</row>
    <row r="9" spans="1:18" x14ac:dyDescent="0.2">
      <c r="A9" s="293"/>
      <c r="B9" s="301" t="s">
        <v>1381</v>
      </c>
      <c r="C9" s="300" t="s">
        <v>3072</v>
      </c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</row>
    <row r="10" spans="1:18" x14ac:dyDescent="0.2">
      <c r="A10" s="293"/>
      <c r="B10" s="301" t="s">
        <v>1380</v>
      </c>
      <c r="C10" s="300" t="s">
        <v>1379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</row>
    <row r="11" spans="1:18" x14ac:dyDescent="0.2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</row>
    <row r="12" spans="1:18" ht="18" x14ac:dyDescent="0.25">
      <c r="A12" s="293"/>
      <c r="B12" s="299" t="s">
        <v>1378</v>
      </c>
      <c r="C12" s="298" t="s">
        <v>1325</v>
      </c>
      <c r="D12" s="297" t="s">
        <v>1377</v>
      </c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</row>
    <row r="13" spans="1:18" x14ac:dyDescent="0.2">
      <c r="A13" s="293"/>
      <c r="B13" s="294" t="s">
        <v>1319</v>
      </c>
      <c r="C13" s="295" t="s">
        <v>1376</v>
      </c>
      <c r="D13" s="296" t="s">
        <v>3074</v>
      </c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1:18" x14ac:dyDescent="0.2">
      <c r="A14" s="293"/>
      <c r="B14" s="294" t="s">
        <v>1313</v>
      </c>
      <c r="C14" s="295" t="s">
        <v>1375</v>
      </c>
      <c r="D14" s="296" t="s">
        <v>3075</v>
      </c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</row>
    <row r="15" spans="1:18" x14ac:dyDescent="0.2">
      <c r="A15" s="293"/>
      <c r="B15" s="294" t="s">
        <v>1374</v>
      </c>
      <c r="C15" s="295" t="s">
        <v>1373</v>
      </c>
      <c r="D15" s="296" t="s">
        <v>3076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</row>
    <row r="16" spans="1:18" x14ac:dyDescent="0.2">
      <c r="A16" s="293"/>
      <c r="B16" s="294" t="s">
        <v>1372</v>
      </c>
      <c r="C16" s="295" t="s">
        <v>1371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1:19" x14ac:dyDescent="0.2">
      <c r="A17" s="293"/>
      <c r="B17" s="294" t="s">
        <v>1370</v>
      </c>
      <c r="C17" s="295" t="s">
        <v>1369</v>
      </c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1:19" x14ac:dyDescent="0.2">
      <c r="A18" s="293"/>
      <c r="B18" s="294" t="s">
        <v>1368</v>
      </c>
      <c r="C18" s="295" t="s">
        <v>1367</v>
      </c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</row>
    <row r="19" spans="1:19" x14ac:dyDescent="0.2">
      <c r="A19" s="293"/>
      <c r="B19" s="294" t="s">
        <v>1366</v>
      </c>
      <c r="C19" s="295" t="s">
        <v>1365</v>
      </c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</row>
    <row r="20" spans="1:19" x14ac:dyDescent="0.2">
      <c r="A20" s="293"/>
      <c r="B20" s="294" t="s">
        <v>1364</v>
      </c>
      <c r="C20" s="295" t="s">
        <v>1363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</row>
    <row r="21" spans="1:19" x14ac:dyDescent="0.2">
      <c r="A21" s="293"/>
      <c r="B21" s="294" t="s">
        <v>1362</v>
      </c>
      <c r="C21" s="295" t="s">
        <v>1361</v>
      </c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</row>
    <row r="22" spans="1:19" x14ac:dyDescent="0.2">
      <c r="A22" s="293"/>
      <c r="B22" s="294" t="s">
        <v>1360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</row>
    <row r="23" spans="1:19" x14ac:dyDescent="0.2">
      <c r="A23" s="293"/>
      <c r="B23" s="294" t="s">
        <v>1359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</row>
    <row r="24" spans="1:19" x14ac:dyDescent="0.2">
      <c r="A24" s="293"/>
      <c r="B24" s="294" t="s">
        <v>1358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</row>
    <row r="25" spans="1:19" x14ac:dyDescent="0.2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</row>
    <row r="26" spans="1:19" x14ac:dyDescent="0.2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</row>
    <row r="27" spans="1:19" x14ac:dyDescent="0.2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</row>
    <row r="28" spans="1:19" x14ac:dyDescent="0.2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</row>
    <row r="29" spans="1:19" x14ac:dyDescent="0.2">
      <c r="A29" s="293"/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</row>
    <row r="30" spans="1:19" x14ac:dyDescent="0.2">
      <c r="A30" s="293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</row>
    <row r="31" spans="1:19" x14ac:dyDescent="0.2">
      <c r="A31" s="293"/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</row>
    <row r="32" spans="1:19" x14ac:dyDescent="0.2">
      <c r="A32" s="293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</row>
    <row r="33" spans="1:17" x14ac:dyDescent="0.2">
      <c r="A33" s="293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</row>
    <row r="34" spans="1:17" x14ac:dyDescent="0.2">
      <c r="A34" s="293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</row>
    <row r="35" spans="1:17" x14ac:dyDescent="0.2">
      <c r="A35" s="293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</row>
    <row r="36" spans="1:17" x14ac:dyDescent="0.2">
      <c r="A36" s="293"/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49"/>
  </sheetPr>
  <dimension ref="A1:I2192"/>
  <sheetViews>
    <sheetView workbookViewId="0">
      <pane xSplit="2" ySplit="1" topLeftCell="C2156" activePane="bottomRight" state="frozen"/>
      <selection activeCell="N5" sqref="N5"/>
      <selection pane="topRight" activeCell="N5" sqref="N5"/>
      <selection pane="bottomLeft" activeCell="N5" sqref="N5"/>
      <selection pane="bottomRight" activeCell="G2" sqref="G2:G2192"/>
    </sheetView>
  </sheetViews>
  <sheetFormatPr defaultRowHeight="12.75" x14ac:dyDescent="0.2"/>
  <cols>
    <col min="1" max="1" width="28" style="304" bestFit="1" customWidth="1"/>
    <col min="2" max="2" width="13.7109375" style="304" customWidth="1"/>
    <col min="3" max="3" width="18" style="304" bestFit="1" customWidth="1"/>
    <col min="4" max="4" width="17.42578125" style="292" bestFit="1" customWidth="1"/>
    <col min="5" max="5" width="13" style="292" customWidth="1"/>
    <col min="6" max="6" width="8" style="303" customWidth="1"/>
    <col min="7" max="7" width="10.28515625" style="303" customWidth="1"/>
    <col min="8" max="8" width="16.28515625" style="292" bestFit="1" customWidth="1"/>
    <col min="9" max="16384" width="9.140625" style="292"/>
  </cols>
  <sheetData>
    <row r="1" spans="1:9" ht="15.75" x14ac:dyDescent="0.25">
      <c r="A1" s="312" t="s">
        <v>2027</v>
      </c>
      <c r="B1" s="312" t="s">
        <v>2026</v>
      </c>
      <c r="C1" s="312" t="s">
        <v>1287</v>
      </c>
      <c r="D1" s="312" t="s">
        <v>2025</v>
      </c>
      <c r="E1" s="312" t="s">
        <v>2024</v>
      </c>
      <c r="F1" s="312" t="s">
        <v>2023</v>
      </c>
      <c r="G1" s="312" t="s">
        <v>2022</v>
      </c>
      <c r="H1" s="305"/>
      <c r="I1" s="305"/>
    </row>
    <row r="2" spans="1:9" x14ac:dyDescent="0.2">
      <c r="A2" s="310" t="s">
        <v>1362</v>
      </c>
      <c r="B2" s="310" t="s">
        <v>1365</v>
      </c>
      <c r="C2" s="309">
        <v>42592</v>
      </c>
      <c r="D2" s="308" t="s">
        <v>2810</v>
      </c>
      <c r="E2" s="307">
        <v>1</v>
      </c>
      <c r="F2" s="311">
        <v>400</v>
      </c>
      <c r="G2" s="303">
        <f>48-(12)</f>
        <v>36</v>
      </c>
      <c r="H2" s="305"/>
      <c r="I2" s="305"/>
    </row>
    <row r="3" spans="1:9" x14ac:dyDescent="0.2">
      <c r="A3" s="310" t="s">
        <v>1362</v>
      </c>
      <c r="B3" s="310" t="s">
        <v>1365</v>
      </c>
      <c r="C3" s="309">
        <v>42654</v>
      </c>
      <c r="D3" s="308" t="s">
        <v>2873</v>
      </c>
      <c r="E3" s="307">
        <v>1</v>
      </c>
      <c r="F3" s="311">
        <v>400</v>
      </c>
      <c r="G3" s="303">
        <f>48-(12)</f>
        <v>36</v>
      </c>
      <c r="H3" s="305"/>
      <c r="I3" s="305"/>
    </row>
    <row r="4" spans="1:9" x14ac:dyDescent="0.2">
      <c r="A4" s="310" t="s">
        <v>1362</v>
      </c>
      <c r="B4" s="310" t="s">
        <v>1365</v>
      </c>
      <c r="C4" s="309">
        <v>42654</v>
      </c>
      <c r="D4" s="308" t="s">
        <v>2849</v>
      </c>
      <c r="E4" s="307">
        <v>1</v>
      </c>
      <c r="F4" s="311">
        <v>400</v>
      </c>
      <c r="G4" s="303">
        <f>49-(12)</f>
        <v>37</v>
      </c>
      <c r="H4" s="305"/>
      <c r="I4" s="305"/>
    </row>
    <row r="5" spans="1:9" x14ac:dyDescent="0.2">
      <c r="A5" s="310" t="s">
        <v>1362</v>
      </c>
      <c r="B5" s="310" t="s">
        <v>1365</v>
      </c>
      <c r="C5" s="309">
        <v>42592</v>
      </c>
      <c r="D5" s="308" t="s">
        <v>2834</v>
      </c>
      <c r="E5" s="307">
        <v>1</v>
      </c>
      <c r="F5" s="311">
        <v>400</v>
      </c>
      <c r="G5" s="303">
        <f>50-(12)</f>
        <v>38</v>
      </c>
      <c r="H5" s="305"/>
      <c r="I5" s="305"/>
    </row>
    <row r="6" spans="1:9" x14ac:dyDescent="0.2">
      <c r="A6" s="310" t="s">
        <v>1362</v>
      </c>
      <c r="B6" s="310" t="s">
        <v>1365</v>
      </c>
      <c r="C6" s="309">
        <v>42654</v>
      </c>
      <c r="D6" s="308" t="s">
        <v>2860</v>
      </c>
      <c r="E6" s="307">
        <v>1</v>
      </c>
      <c r="F6" s="311">
        <v>400</v>
      </c>
      <c r="G6" s="303">
        <f>50-(12)</f>
        <v>38</v>
      </c>
      <c r="H6" s="305"/>
      <c r="I6" s="305"/>
    </row>
    <row r="7" spans="1:9" x14ac:dyDescent="0.2">
      <c r="A7" s="310" t="s">
        <v>1362</v>
      </c>
      <c r="B7" s="310" t="s">
        <v>1365</v>
      </c>
      <c r="C7" s="309">
        <v>42654</v>
      </c>
      <c r="D7" s="308" t="s">
        <v>2894</v>
      </c>
      <c r="E7" s="307">
        <v>1</v>
      </c>
      <c r="F7" s="311">
        <v>400</v>
      </c>
      <c r="G7" s="303">
        <f>50-(12)</f>
        <v>38</v>
      </c>
      <c r="H7" s="305"/>
      <c r="I7" s="305"/>
    </row>
    <row r="8" spans="1:9" x14ac:dyDescent="0.2">
      <c r="A8" s="310" t="s">
        <v>1372</v>
      </c>
      <c r="B8" s="310" t="s">
        <v>1365</v>
      </c>
      <c r="C8" s="309">
        <v>42488</v>
      </c>
      <c r="D8" s="308" t="s">
        <v>2262</v>
      </c>
      <c r="E8" s="307">
        <v>1</v>
      </c>
      <c r="F8" s="311">
        <v>310</v>
      </c>
      <c r="G8" s="303">
        <f>51-(12)</f>
        <v>39</v>
      </c>
      <c r="H8" s="305"/>
      <c r="I8" s="305"/>
    </row>
    <row r="9" spans="1:9" x14ac:dyDescent="0.2">
      <c r="A9" s="310" t="s">
        <v>1362</v>
      </c>
      <c r="B9" s="310" t="s">
        <v>1365</v>
      </c>
      <c r="C9" s="309">
        <v>42592</v>
      </c>
      <c r="D9" s="308" t="s">
        <v>2839</v>
      </c>
      <c r="E9" s="307">
        <v>1</v>
      </c>
      <c r="F9" s="311">
        <v>400</v>
      </c>
      <c r="G9" s="303">
        <f>51-(12)</f>
        <v>39</v>
      </c>
      <c r="H9" s="305"/>
      <c r="I9" s="305"/>
    </row>
    <row r="10" spans="1:9" x14ac:dyDescent="0.2">
      <c r="A10" s="310" t="s">
        <v>1362</v>
      </c>
      <c r="B10" s="310" t="s">
        <v>1365</v>
      </c>
      <c r="C10" s="309">
        <v>42654</v>
      </c>
      <c r="D10" s="308" t="s">
        <v>2879</v>
      </c>
      <c r="E10" s="307">
        <v>1</v>
      </c>
      <c r="F10" s="311">
        <v>400</v>
      </c>
      <c r="G10" s="303">
        <f>51-(12)</f>
        <v>39</v>
      </c>
      <c r="H10" s="305"/>
      <c r="I10" s="305"/>
    </row>
    <row r="11" spans="1:9" x14ac:dyDescent="0.2">
      <c r="A11" s="310" t="s">
        <v>1372</v>
      </c>
      <c r="B11" s="310" t="s">
        <v>1365</v>
      </c>
      <c r="C11" s="309">
        <v>42056</v>
      </c>
      <c r="D11" s="308" t="s">
        <v>1931</v>
      </c>
      <c r="E11" s="307">
        <v>1</v>
      </c>
      <c r="F11" s="311">
        <v>300</v>
      </c>
      <c r="G11" s="303">
        <f>52-(12)</f>
        <v>40</v>
      </c>
      <c r="H11" s="305"/>
      <c r="I11" s="305"/>
    </row>
    <row r="12" spans="1:9" x14ac:dyDescent="0.2">
      <c r="A12" s="310" t="s">
        <v>1362</v>
      </c>
      <c r="B12" s="310" t="s">
        <v>1365</v>
      </c>
      <c r="C12" s="309">
        <v>42058</v>
      </c>
      <c r="D12" s="308" t="s">
        <v>1657</v>
      </c>
      <c r="E12" s="307">
        <v>1</v>
      </c>
      <c r="F12" s="311">
        <v>400</v>
      </c>
      <c r="G12" s="303">
        <f>52-(12)</f>
        <v>40</v>
      </c>
      <c r="H12" s="305"/>
      <c r="I12" s="305"/>
    </row>
    <row r="13" spans="1:9" x14ac:dyDescent="0.2">
      <c r="A13" s="310" t="s">
        <v>1362</v>
      </c>
      <c r="B13" s="310" t="s">
        <v>1365</v>
      </c>
      <c r="C13" s="309">
        <v>42058</v>
      </c>
      <c r="D13" s="308" t="s">
        <v>1485</v>
      </c>
      <c r="E13" s="307">
        <v>1</v>
      </c>
      <c r="F13" s="311">
        <v>400</v>
      </c>
      <c r="G13" s="303">
        <f>52-(12)</f>
        <v>40</v>
      </c>
      <c r="H13" s="305"/>
      <c r="I13" s="305"/>
    </row>
    <row r="14" spans="1:9" x14ac:dyDescent="0.2">
      <c r="A14" s="310" t="s">
        <v>1362</v>
      </c>
      <c r="B14" s="310" t="s">
        <v>1365</v>
      </c>
      <c r="C14" s="309">
        <v>42058</v>
      </c>
      <c r="D14" s="308" t="s">
        <v>1624</v>
      </c>
      <c r="E14" s="307">
        <v>1</v>
      </c>
      <c r="F14" s="311">
        <v>400</v>
      </c>
      <c r="G14" s="303">
        <f>52-(12)</f>
        <v>40</v>
      </c>
      <c r="H14" s="305"/>
      <c r="I14" s="305"/>
    </row>
    <row r="15" spans="1:9" x14ac:dyDescent="0.2">
      <c r="A15" s="310" t="s">
        <v>1362</v>
      </c>
      <c r="B15" s="310" t="s">
        <v>1365</v>
      </c>
      <c r="C15" s="309">
        <v>42058</v>
      </c>
      <c r="D15" s="308" t="s">
        <v>1621</v>
      </c>
      <c r="E15" s="307">
        <v>1</v>
      </c>
      <c r="F15" s="311">
        <v>400</v>
      </c>
      <c r="G15" s="303">
        <f>52-(12)</f>
        <v>40</v>
      </c>
      <c r="H15" s="305"/>
      <c r="I15" s="305"/>
    </row>
    <row r="16" spans="1:9" x14ac:dyDescent="0.2">
      <c r="A16" s="310" t="s">
        <v>1319</v>
      </c>
      <c r="B16" s="310" t="s">
        <v>1373</v>
      </c>
      <c r="C16" s="309">
        <v>42415</v>
      </c>
      <c r="D16" s="308" t="s">
        <v>2049</v>
      </c>
      <c r="E16" s="307">
        <v>1</v>
      </c>
      <c r="F16" s="311">
        <v>120</v>
      </c>
      <c r="G16" s="306">
        <f>48-(7)</f>
        <v>41</v>
      </c>
      <c r="H16" s="310"/>
      <c r="I16" s="305"/>
    </row>
    <row r="17" spans="1:9" x14ac:dyDescent="0.2">
      <c r="A17" s="310" t="s">
        <v>1372</v>
      </c>
      <c r="B17" s="310" t="s">
        <v>1365</v>
      </c>
      <c r="C17" s="309">
        <v>42056</v>
      </c>
      <c r="D17" s="308" t="s">
        <v>1598</v>
      </c>
      <c r="E17" s="307">
        <v>1</v>
      </c>
      <c r="F17" s="311">
        <v>300</v>
      </c>
      <c r="G17" s="303">
        <f>53-(12)</f>
        <v>41</v>
      </c>
      <c r="H17" s="305"/>
      <c r="I17" s="305"/>
    </row>
    <row r="18" spans="1:9" x14ac:dyDescent="0.2">
      <c r="A18" s="310" t="s">
        <v>1372</v>
      </c>
      <c r="B18" s="310" t="s">
        <v>1365</v>
      </c>
      <c r="C18" s="309">
        <v>42488</v>
      </c>
      <c r="D18" s="308" t="s">
        <v>2270</v>
      </c>
      <c r="E18" s="307">
        <v>1</v>
      </c>
      <c r="F18" s="311">
        <v>310</v>
      </c>
      <c r="G18" s="303">
        <f>53-(12)</f>
        <v>41</v>
      </c>
      <c r="H18" s="305"/>
      <c r="I18" s="305"/>
    </row>
    <row r="19" spans="1:9" x14ac:dyDescent="0.2">
      <c r="A19" s="310" t="s">
        <v>1370</v>
      </c>
      <c r="B19" s="310" t="s">
        <v>1373</v>
      </c>
      <c r="C19" s="309">
        <v>42658</v>
      </c>
      <c r="D19" s="308" t="s">
        <v>2366</v>
      </c>
      <c r="E19" s="307">
        <v>1</v>
      </c>
      <c r="F19" s="311">
        <v>500</v>
      </c>
      <c r="G19" s="306">
        <f>48-(7)</f>
        <v>41</v>
      </c>
      <c r="H19" s="305"/>
      <c r="I19" s="305"/>
    </row>
    <row r="20" spans="1:9" x14ac:dyDescent="0.2">
      <c r="A20" s="310" t="s">
        <v>1362</v>
      </c>
      <c r="B20" s="310" t="s">
        <v>1365</v>
      </c>
      <c r="C20" s="309">
        <v>42058</v>
      </c>
      <c r="D20" s="308" t="s">
        <v>1635</v>
      </c>
      <c r="E20" s="307">
        <v>1</v>
      </c>
      <c r="F20" s="311">
        <v>400</v>
      </c>
      <c r="G20" s="303">
        <f>53-(12)</f>
        <v>41</v>
      </c>
      <c r="H20" s="305"/>
      <c r="I20" s="305"/>
    </row>
    <row r="21" spans="1:9" x14ac:dyDescent="0.2">
      <c r="A21" s="310" t="s">
        <v>1362</v>
      </c>
      <c r="B21" s="310" t="s">
        <v>1365</v>
      </c>
      <c r="C21" s="309">
        <v>42058</v>
      </c>
      <c r="D21" s="308" t="s">
        <v>1403</v>
      </c>
      <c r="E21" s="307">
        <v>1</v>
      </c>
      <c r="F21" s="311">
        <v>400</v>
      </c>
      <c r="G21" s="303">
        <f>53-(12)</f>
        <v>41</v>
      </c>
      <c r="H21" s="305"/>
      <c r="I21" s="305"/>
    </row>
    <row r="22" spans="1:9" x14ac:dyDescent="0.2">
      <c r="A22" s="310" t="s">
        <v>1362</v>
      </c>
      <c r="B22" s="310" t="s">
        <v>1365</v>
      </c>
      <c r="C22" s="309">
        <v>42058</v>
      </c>
      <c r="D22" s="308" t="s">
        <v>1613</v>
      </c>
      <c r="E22" s="307">
        <v>1</v>
      </c>
      <c r="F22" s="311">
        <v>400</v>
      </c>
      <c r="G22" s="303">
        <f>53-(12)</f>
        <v>41</v>
      </c>
      <c r="H22" s="305"/>
      <c r="I22" s="305"/>
    </row>
    <row r="23" spans="1:9" x14ac:dyDescent="0.2">
      <c r="A23" s="310" t="s">
        <v>1362</v>
      </c>
      <c r="B23" s="310" t="s">
        <v>1365</v>
      </c>
      <c r="C23" s="309">
        <v>42127</v>
      </c>
      <c r="D23" s="308" t="s">
        <v>1508</v>
      </c>
      <c r="E23" s="307">
        <v>1</v>
      </c>
      <c r="F23" s="311">
        <v>400</v>
      </c>
      <c r="G23" s="303">
        <f>53-(12)</f>
        <v>41</v>
      </c>
      <c r="H23" s="305"/>
      <c r="I23" s="305"/>
    </row>
    <row r="24" spans="1:9" x14ac:dyDescent="0.2">
      <c r="A24" s="310" t="s">
        <v>1362</v>
      </c>
      <c r="B24" s="310" t="s">
        <v>1365</v>
      </c>
      <c r="C24" s="309">
        <v>42592</v>
      </c>
      <c r="D24" s="308" t="s">
        <v>2807</v>
      </c>
      <c r="E24" s="307">
        <v>1</v>
      </c>
      <c r="F24" s="311">
        <v>400</v>
      </c>
      <c r="G24" s="303">
        <f>53-(12)</f>
        <v>41</v>
      </c>
      <c r="H24" s="305"/>
      <c r="I24" s="305"/>
    </row>
    <row r="25" spans="1:9" x14ac:dyDescent="0.2">
      <c r="A25" s="310" t="s">
        <v>1319</v>
      </c>
      <c r="B25" s="310" t="s">
        <v>1373</v>
      </c>
      <c r="C25" s="309">
        <v>42415</v>
      </c>
      <c r="D25" s="308" t="s">
        <v>2056</v>
      </c>
      <c r="E25" s="307">
        <v>1</v>
      </c>
      <c r="F25" s="311">
        <v>120</v>
      </c>
      <c r="G25" s="306">
        <f>49-(7)</f>
        <v>42</v>
      </c>
      <c r="H25" s="305"/>
      <c r="I25" s="305"/>
    </row>
    <row r="26" spans="1:9" x14ac:dyDescent="0.2">
      <c r="A26" s="310" t="s">
        <v>1313</v>
      </c>
      <c r="B26" s="310" t="s">
        <v>1373</v>
      </c>
      <c r="C26" s="309">
        <v>42384</v>
      </c>
      <c r="D26" s="308" t="s">
        <v>2169</v>
      </c>
      <c r="E26" s="307">
        <v>1</v>
      </c>
      <c r="F26" s="311">
        <v>210</v>
      </c>
      <c r="G26" s="306">
        <f>49-(7)</f>
        <v>42</v>
      </c>
      <c r="H26" s="305"/>
      <c r="I26" s="305"/>
    </row>
    <row r="27" spans="1:9" x14ac:dyDescent="0.2">
      <c r="A27" s="310" t="s">
        <v>1370</v>
      </c>
      <c r="B27" s="310" t="s">
        <v>1373</v>
      </c>
      <c r="C27" s="309">
        <v>42658</v>
      </c>
      <c r="D27" s="308" t="s">
        <v>2358</v>
      </c>
      <c r="E27" s="307">
        <v>1</v>
      </c>
      <c r="F27" s="311">
        <v>500</v>
      </c>
      <c r="G27" s="306">
        <f>49-(7)</f>
        <v>42</v>
      </c>
      <c r="H27" s="305"/>
      <c r="I27" s="305"/>
    </row>
    <row r="28" spans="1:9" x14ac:dyDescent="0.2">
      <c r="A28" s="310" t="s">
        <v>1370</v>
      </c>
      <c r="B28" s="310" t="s">
        <v>1373</v>
      </c>
      <c r="C28" s="309">
        <v>42658</v>
      </c>
      <c r="D28" s="308" t="s">
        <v>2334</v>
      </c>
      <c r="E28" s="307">
        <v>1</v>
      </c>
      <c r="F28" s="311">
        <v>500</v>
      </c>
      <c r="G28" s="306">
        <f>49-(7)</f>
        <v>42</v>
      </c>
      <c r="H28" s="305"/>
      <c r="I28" s="305"/>
    </row>
    <row r="29" spans="1:9" x14ac:dyDescent="0.2">
      <c r="A29" s="310" t="s">
        <v>1372</v>
      </c>
      <c r="B29" s="310" t="s">
        <v>1365</v>
      </c>
      <c r="C29" s="309">
        <v>42056</v>
      </c>
      <c r="D29" s="308" t="s">
        <v>1599</v>
      </c>
      <c r="E29" s="307">
        <v>1</v>
      </c>
      <c r="F29" s="311">
        <v>300</v>
      </c>
      <c r="G29" s="303">
        <f>55-(12)</f>
        <v>43</v>
      </c>
      <c r="H29" s="305"/>
      <c r="I29" s="305"/>
    </row>
    <row r="30" spans="1:9" x14ac:dyDescent="0.2">
      <c r="A30" s="310" t="s">
        <v>1370</v>
      </c>
      <c r="B30" s="310" t="s">
        <v>1361</v>
      </c>
      <c r="C30" s="309">
        <v>42447</v>
      </c>
      <c r="D30" s="308" t="s">
        <v>2372</v>
      </c>
      <c r="E30" s="307">
        <v>1</v>
      </c>
      <c r="F30" s="311">
        <v>500</v>
      </c>
      <c r="G30" s="303">
        <f>48-(5)</f>
        <v>43</v>
      </c>
      <c r="H30" s="305"/>
      <c r="I30" s="305"/>
    </row>
    <row r="31" spans="1:9" x14ac:dyDescent="0.2">
      <c r="A31" s="310" t="s">
        <v>1370</v>
      </c>
      <c r="B31" s="310" t="s">
        <v>1373</v>
      </c>
      <c r="C31" s="309">
        <v>42658</v>
      </c>
      <c r="D31" s="308" t="s">
        <v>2361</v>
      </c>
      <c r="E31" s="307">
        <v>1</v>
      </c>
      <c r="F31" s="311">
        <v>500</v>
      </c>
      <c r="G31" s="306">
        <f>50-(7)</f>
        <v>43</v>
      </c>
      <c r="H31" s="305"/>
      <c r="I31" s="305"/>
    </row>
    <row r="32" spans="1:9" x14ac:dyDescent="0.2">
      <c r="A32" s="310" t="s">
        <v>1362</v>
      </c>
      <c r="B32" s="310" t="s">
        <v>1365</v>
      </c>
      <c r="C32" s="309">
        <v>42058</v>
      </c>
      <c r="D32" s="308" t="s">
        <v>1652</v>
      </c>
      <c r="E32" s="307">
        <v>1</v>
      </c>
      <c r="F32" s="311">
        <v>400</v>
      </c>
      <c r="G32" s="303">
        <f t="shared" ref="G32:G38" si="0">55-(12)</f>
        <v>43</v>
      </c>
      <c r="H32" s="305"/>
      <c r="I32" s="305"/>
    </row>
    <row r="33" spans="1:9" x14ac:dyDescent="0.2">
      <c r="A33" s="310" t="s">
        <v>1362</v>
      </c>
      <c r="B33" s="310" t="s">
        <v>1365</v>
      </c>
      <c r="C33" s="309">
        <v>42058</v>
      </c>
      <c r="D33" s="308" t="s">
        <v>1648</v>
      </c>
      <c r="E33" s="307">
        <v>1</v>
      </c>
      <c r="F33" s="311">
        <v>400</v>
      </c>
      <c r="G33" s="303">
        <f t="shared" si="0"/>
        <v>43</v>
      </c>
      <c r="H33" s="305"/>
      <c r="I33" s="305"/>
    </row>
    <row r="34" spans="1:9" x14ac:dyDescent="0.2">
      <c r="A34" s="310" t="s">
        <v>1362</v>
      </c>
      <c r="B34" s="310" t="s">
        <v>1365</v>
      </c>
      <c r="C34" s="309">
        <v>42058</v>
      </c>
      <c r="D34" s="308" t="s">
        <v>1646</v>
      </c>
      <c r="E34" s="307">
        <v>1</v>
      </c>
      <c r="F34" s="311">
        <v>400</v>
      </c>
      <c r="G34" s="303">
        <f t="shared" si="0"/>
        <v>43</v>
      </c>
      <c r="H34" s="305"/>
      <c r="I34" s="305"/>
    </row>
    <row r="35" spans="1:9" x14ac:dyDescent="0.2">
      <c r="A35" s="310" t="s">
        <v>1362</v>
      </c>
      <c r="B35" s="310" t="s">
        <v>1365</v>
      </c>
      <c r="C35" s="309">
        <v>42058</v>
      </c>
      <c r="D35" s="308" t="s">
        <v>1629</v>
      </c>
      <c r="E35" s="307">
        <v>1</v>
      </c>
      <c r="F35" s="311">
        <v>400</v>
      </c>
      <c r="G35" s="303">
        <f t="shared" si="0"/>
        <v>43</v>
      </c>
      <c r="H35" s="305"/>
      <c r="I35" s="305"/>
    </row>
    <row r="36" spans="1:9" x14ac:dyDescent="0.2">
      <c r="A36" s="310" t="s">
        <v>1362</v>
      </c>
      <c r="B36" s="310" t="s">
        <v>1365</v>
      </c>
      <c r="C36" s="309">
        <v>42592</v>
      </c>
      <c r="D36" s="308" t="s">
        <v>2825</v>
      </c>
      <c r="E36" s="307">
        <v>1</v>
      </c>
      <c r="F36" s="311">
        <v>400</v>
      </c>
      <c r="G36" s="303">
        <f t="shared" si="0"/>
        <v>43</v>
      </c>
      <c r="H36" s="305"/>
      <c r="I36" s="305"/>
    </row>
    <row r="37" spans="1:9" x14ac:dyDescent="0.2">
      <c r="A37" s="310" t="s">
        <v>1362</v>
      </c>
      <c r="B37" s="310" t="s">
        <v>1365</v>
      </c>
      <c r="C37" s="309">
        <v>42654</v>
      </c>
      <c r="D37" s="308" t="s">
        <v>2900</v>
      </c>
      <c r="E37" s="307">
        <v>1</v>
      </c>
      <c r="F37" s="311">
        <v>400</v>
      </c>
      <c r="G37" s="303">
        <f t="shared" si="0"/>
        <v>43</v>
      </c>
      <c r="H37" s="305"/>
      <c r="I37" s="305"/>
    </row>
    <row r="38" spans="1:9" x14ac:dyDescent="0.2">
      <c r="A38" s="310" t="s">
        <v>1362</v>
      </c>
      <c r="B38" s="310" t="s">
        <v>1365</v>
      </c>
      <c r="C38" s="309">
        <v>42654</v>
      </c>
      <c r="D38" s="308" t="s">
        <v>2874</v>
      </c>
      <c r="E38" s="307">
        <v>1</v>
      </c>
      <c r="F38" s="311">
        <v>400</v>
      </c>
      <c r="G38" s="303">
        <f t="shared" si="0"/>
        <v>43</v>
      </c>
      <c r="H38" s="305"/>
      <c r="I38" s="305"/>
    </row>
    <row r="39" spans="1:9" x14ac:dyDescent="0.2">
      <c r="A39" s="310" t="s">
        <v>1319</v>
      </c>
      <c r="B39" s="310" t="s">
        <v>1373</v>
      </c>
      <c r="C39" s="309">
        <v>42415</v>
      </c>
      <c r="D39" s="308" t="s">
        <v>2073</v>
      </c>
      <c r="E39" s="307">
        <v>1</v>
      </c>
      <c r="F39" s="311">
        <v>120</v>
      </c>
      <c r="G39" s="306">
        <f>51-(7)</f>
        <v>44</v>
      </c>
      <c r="H39" s="305"/>
      <c r="I39" s="305"/>
    </row>
    <row r="40" spans="1:9" x14ac:dyDescent="0.2">
      <c r="A40" s="310" t="s">
        <v>1372</v>
      </c>
      <c r="B40" s="310" t="s">
        <v>1365</v>
      </c>
      <c r="C40" s="309">
        <v>42056</v>
      </c>
      <c r="D40" s="308" t="s">
        <v>1540</v>
      </c>
      <c r="E40" s="307">
        <v>1</v>
      </c>
      <c r="F40" s="311">
        <v>300</v>
      </c>
      <c r="G40" s="303">
        <f>56-(12)</f>
        <v>44</v>
      </c>
      <c r="H40" s="305"/>
      <c r="I40" s="305"/>
    </row>
    <row r="41" spans="1:9" x14ac:dyDescent="0.2">
      <c r="A41" s="310" t="s">
        <v>1372</v>
      </c>
      <c r="B41" s="310" t="s">
        <v>1365</v>
      </c>
      <c r="C41" s="309">
        <v>42488</v>
      </c>
      <c r="D41" s="308" t="s">
        <v>2261</v>
      </c>
      <c r="E41" s="307">
        <v>1</v>
      </c>
      <c r="F41" s="311">
        <v>310</v>
      </c>
      <c r="G41" s="303">
        <f>56-(12)</f>
        <v>44</v>
      </c>
      <c r="H41" s="305"/>
      <c r="I41" s="305"/>
    </row>
    <row r="42" spans="1:9" x14ac:dyDescent="0.2">
      <c r="A42" s="310" t="s">
        <v>1372</v>
      </c>
      <c r="B42" s="310" t="s">
        <v>1365</v>
      </c>
      <c r="C42" s="309">
        <v>42488</v>
      </c>
      <c r="D42" s="308" t="s">
        <v>2268</v>
      </c>
      <c r="E42" s="307">
        <v>1</v>
      </c>
      <c r="F42" s="311">
        <v>310</v>
      </c>
      <c r="G42" s="303">
        <f>56-(12)</f>
        <v>44</v>
      </c>
      <c r="H42" s="305"/>
      <c r="I42" s="305"/>
    </row>
    <row r="43" spans="1:9" x14ac:dyDescent="0.2">
      <c r="A43" s="310" t="s">
        <v>1370</v>
      </c>
      <c r="B43" s="310" t="s">
        <v>1373</v>
      </c>
      <c r="C43" s="309">
        <v>42288</v>
      </c>
      <c r="D43" s="308" t="s">
        <v>1935</v>
      </c>
      <c r="E43" s="307">
        <v>1</v>
      </c>
      <c r="F43" s="311">
        <v>500</v>
      </c>
      <c r="G43" s="306">
        <f>51-(7)</f>
        <v>44</v>
      </c>
      <c r="H43" s="305"/>
      <c r="I43" s="305"/>
    </row>
    <row r="44" spans="1:9" x14ac:dyDescent="0.2">
      <c r="A44" s="310" t="s">
        <v>1370</v>
      </c>
      <c r="B44" s="310" t="s">
        <v>1361</v>
      </c>
      <c r="C44" s="309">
        <v>42447</v>
      </c>
      <c r="D44" s="308" t="s">
        <v>2398</v>
      </c>
      <c r="E44" s="307">
        <v>1</v>
      </c>
      <c r="F44" s="311">
        <v>500</v>
      </c>
      <c r="G44" s="303">
        <f>49-(5)</f>
        <v>44</v>
      </c>
      <c r="H44" s="305"/>
      <c r="I44" s="305"/>
    </row>
    <row r="45" spans="1:9" x14ac:dyDescent="0.2">
      <c r="A45" s="310" t="s">
        <v>1362</v>
      </c>
      <c r="B45" s="310" t="s">
        <v>1365</v>
      </c>
      <c r="C45" s="309">
        <v>42654</v>
      </c>
      <c r="D45" s="308" t="s">
        <v>2877</v>
      </c>
      <c r="E45" s="307">
        <v>1</v>
      </c>
      <c r="F45" s="311">
        <v>400</v>
      </c>
      <c r="G45" s="303">
        <f>56-(12)</f>
        <v>44</v>
      </c>
      <c r="H45" s="305"/>
      <c r="I45" s="305"/>
    </row>
    <row r="46" spans="1:9" x14ac:dyDescent="0.2">
      <c r="A46" s="310" t="s">
        <v>1362</v>
      </c>
      <c r="B46" s="310" t="s">
        <v>1365</v>
      </c>
      <c r="C46" s="309">
        <v>42654</v>
      </c>
      <c r="D46" s="308" t="s">
        <v>2876</v>
      </c>
      <c r="E46" s="307">
        <v>1</v>
      </c>
      <c r="F46" s="311">
        <v>400</v>
      </c>
      <c r="G46" s="303">
        <f>56-(12)</f>
        <v>44</v>
      </c>
      <c r="H46" s="305"/>
      <c r="I46" s="305"/>
    </row>
    <row r="47" spans="1:9" x14ac:dyDescent="0.2">
      <c r="A47" s="310" t="s">
        <v>1362</v>
      </c>
      <c r="B47" s="310" t="s">
        <v>1365</v>
      </c>
      <c r="C47" s="309">
        <v>42654</v>
      </c>
      <c r="D47" s="308" t="s">
        <v>2878</v>
      </c>
      <c r="E47" s="307">
        <v>1</v>
      </c>
      <c r="F47" s="311">
        <v>400</v>
      </c>
      <c r="G47" s="303">
        <f>56-(12)</f>
        <v>44</v>
      </c>
      <c r="H47" s="305"/>
      <c r="I47" s="305"/>
    </row>
    <row r="48" spans="1:9" x14ac:dyDescent="0.2">
      <c r="A48" s="310" t="s">
        <v>1319</v>
      </c>
      <c r="B48" s="310" t="s">
        <v>1373</v>
      </c>
      <c r="C48" s="309">
        <v>42415</v>
      </c>
      <c r="D48" s="308" t="s">
        <v>2057</v>
      </c>
      <c r="E48" s="307">
        <v>1</v>
      </c>
      <c r="F48" s="311">
        <v>120</v>
      </c>
      <c r="G48" s="306">
        <f>52-(7)</f>
        <v>45</v>
      </c>
      <c r="H48" s="305"/>
      <c r="I48" s="305"/>
    </row>
    <row r="49" spans="1:9" x14ac:dyDescent="0.2">
      <c r="A49" s="310" t="s">
        <v>1319</v>
      </c>
      <c r="B49" s="310" t="s">
        <v>1373</v>
      </c>
      <c r="C49" s="309">
        <v>42415</v>
      </c>
      <c r="D49" s="308" t="s">
        <v>2047</v>
      </c>
      <c r="E49" s="307">
        <v>1</v>
      </c>
      <c r="F49" s="311">
        <v>120</v>
      </c>
      <c r="G49" s="306">
        <f>52-(7)</f>
        <v>45</v>
      </c>
      <c r="H49" s="305"/>
      <c r="I49" s="305"/>
    </row>
    <row r="50" spans="1:9" x14ac:dyDescent="0.2">
      <c r="A50" s="310" t="s">
        <v>1319</v>
      </c>
      <c r="B50" s="310" t="s">
        <v>1373</v>
      </c>
      <c r="C50" s="309">
        <v>42415</v>
      </c>
      <c r="D50" s="308" t="s">
        <v>2044</v>
      </c>
      <c r="E50" s="307">
        <v>1</v>
      </c>
      <c r="F50" s="311">
        <v>120</v>
      </c>
      <c r="G50" s="306">
        <f>52-(7)</f>
        <v>45</v>
      </c>
      <c r="H50" s="305"/>
      <c r="I50" s="305"/>
    </row>
    <row r="51" spans="1:9" x14ac:dyDescent="0.2">
      <c r="A51" s="310" t="s">
        <v>1313</v>
      </c>
      <c r="B51" s="310" t="s">
        <v>1373</v>
      </c>
      <c r="C51" s="309">
        <v>42384</v>
      </c>
      <c r="D51" s="308" t="s">
        <v>2184</v>
      </c>
      <c r="E51" s="307">
        <v>1</v>
      </c>
      <c r="F51" s="311">
        <v>210</v>
      </c>
      <c r="G51" s="306">
        <f>52-(7)</f>
        <v>45</v>
      </c>
      <c r="H51" s="305"/>
      <c r="I51" s="305"/>
    </row>
    <row r="52" spans="1:9" x14ac:dyDescent="0.2">
      <c r="A52" s="310" t="s">
        <v>1313</v>
      </c>
      <c r="B52" s="310" t="s">
        <v>1361</v>
      </c>
      <c r="C52" s="309">
        <v>42636</v>
      </c>
      <c r="D52" s="308" t="s">
        <v>2208</v>
      </c>
      <c r="E52" s="307">
        <v>1</v>
      </c>
      <c r="F52" s="311">
        <v>210</v>
      </c>
      <c r="G52" s="303">
        <f>50-(5)</f>
        <v>45</v>
      </c>
      <c r="H52" s="305"/>
      <c r="I52" s="305"/>
    </row>
    <row r="53" spans="1:9" x14ac:dyDescent="0.2">
      <c r="A53" s="310" t="s">
        <v>1313</v>
      </c>
      <c r="B53" s="310" t="s">
        <v>1361</v>
      </c>
      <c r="C53" s="309">
        <v>42636</v>
      </c>
      <c r="D53" s="308" t="s">
        <v>2045</v>
      </c>
      <c r="E53" s="307">
        <v>1</v>
      </c>
      <c r="F53" s="311">
        <v>210</v>
      </c>
      <c r="G53" s="303">
        <f>50-(5)</f>
        <v>45</v>
      </c>
      <c r="H53" s="305"/>
      <c r="I53" s="305"/>
    </row>
    <row r="54" spans="1:9" x14ac:dyDescent="0.2">
      <c r="A54" s="310" t="s">
        <v>1370</v>
      </c>
      <c r="B54" s="310" t="s">
        <v>1361</v>
      </c>
      <c r="C54" s="309">
        <v>42036</v>
      </c>
      <c r="D54" s="308" t="s">
        <v>1608</v>
      </c>
      <c r="E54" s="307">
        <v>1</v>
      </c>
      <c r="F54" s="311">
        <v>500</v>
      </c>
      <c r="G54" s="303">
        <f>50-(5)</f>
        <v>45</v>
      </c>
      <c r="H54" s="305"/>
      <c r="I54" s="305"/>
    </row>
    <row r="55" spans="1:9" x14ac:dyDescent="0.2">
      <c r="A55" s="310" t="s">
        <v>1362</v>
      </c>
      <c r="B55" s="310" t="s">
        <v>1365</v>
      </c>
      <c r="C55" s="309">
        <v>42058</v>
      </c>
      <c r="D55" s="308" t="s">
        <v>1627</v>
      </c>
      <c r="E55" s="307">
        <v>1</v>
      </c>
      <c r="F55" s="311">
        <v>400</v>
      </c>
      <c r="G55" s="303">
        <f>57-(12)</f>
        <v>45</v>
      </c>
      <c r="H55" s="305"/>
      <c r="I55" s="305"/>
    </row>
    <row r="56" spans="1:9" x14ac:dyDescent="0.2">
      <c r="A56" s="310" t="s">
        <v>1362</v>
      </c>
      <c r="B56" s="310" t="s">
        <v>1365</v>
      </c>
      <c r="C56" s="309">
        <v>42654</v>
      </c>
      <c r="D56" s="308" t="s">
        <v>2891</v>
      </c>
      <c r="E56" s="307">
        <v>1</v>
      </c>
      <c r="F56" s="311">
        <v>400</v>
      </c>
      <c r="G56" s="303">
        <f>57-(12)</f>
        <v>45</v>
      </c>
      <c r="H56" s="305"/>
      <c r="I56" s="305"/>
    </row>
    <row r="57" spans="1:9" x14ac:dyDescent="0.2">
      <c r="A57" s="310" t="s">
        <v>1319</v>
      </c>
      <c r="B57" s="310" t="s">
        <v>1361</v>
      </c>
      <c r="C57" s="309">
        <v>42019</v>
      </c>
      <c r="D57" s="308" t="s">
        <v>1961</v>
      </c>
      <c r="E57" s="307">
        <v>1</v>
      </c>
      <c r="F57" s="311">
        <v>100</v>
      </c>
      <c r="G57" s="303">
        <f>51-(5)</f>
        <v>46</v>
      </c>
      <c r="H57" s="305"/>
      <c r="I57" s="305"/>
    </row>
    <row r="58" spans="1:9" x14ac:dyDescent="0.2">
      <c r="A58" s="310" t="s">
        <v>1313</v>
      </c>
      <c r="B58" s="310" t="s">
        <v>1361</v>
      </c>
      <c r="C58" s="309">
        <v>42177</v>
      </c>
      <c r="D58" s="308" t="s">
        <v>1461</v>
      </c>
      <c r="E58" s="307">
        <v>1</v>
      </c>
      <c r="F58" s="311">
        <v>200</v>
      </c>
      <c r="G58" s="303">
        <f>51-(5)</f>
        <v>46</v>
      </c>
      <c r="H58" s="305"/>
      <c r="I58" s="305"/>
    </row>
    <row r="59" spans="1:9" x14ac:dyDescent="0.2">
      <c r="A59" s="310" t="s">
        <v>1313</v>
      </c>
      <c r="B59" s="310" t="s">
        <v>1373</v>
      </c>
      <c r="C59" s="309">
        <v>42384</v>
      </c>
      <c r="D59" s="308" t="s">
        <v>2164</v>
      </c>
      <c r="E59" s="307">
        <v>1</v>
      </c>
      <c r="F59" s="311">
        <v>210</v>
      </c>
      <c r="G59" s="306">
        <f>53-(7)</f>
        <v>46</v>
      </c>
      <c r="H59" s="305"/>
      <c r="I59" s="305"/>
    </row>
    <row r="60" spans="1:9" x14ac:dyDescent="0.2">
      <c r="A60" s="310" t="s">
        <v>1313</v>
      </c>
      <c r="B60" s="310" t="s">
        <v>1361</v>
      </c>
      <c r="C60" s="309">
        <v>42636</v>
      </c>
      <c r="D60" s="308" t="s">
        <v>2193</v>
      </c>
      <c r="E60" s="307">
        <v>1</v>
      </c>
      <c r="F60" s="311">
        <v>210</v>
      </c>
      <c r="G60" s="303">
        <f>51-(5)</f>
        <v>46</v>
      </c>
      <c r="H60" s="305"/>
      <c r="I60" s="305"/>
    </row>
    <row r="61" spans="1:9" x14ac:dyDescent="0.2">
      <c r="A61" s="310" t="s">
        <v>1313</v>
      </c>
      <c r="B61" s="310" t="s">
        <v>1361</v>
      </c>
      <c r="C61" s="309">
        <v>42636</v>
      </c>
      <c r="D61" s="308" t="s">
        <v>2217</v>
      </c>
      <c r="E61" s="307">
        <v>1</v>
      </c>
      <c r="F61" s="311">
        <v>210</v>
      </c>
      <c r="G61" s="303">
        <f>51-(5)</f>
        <v>46</v>
      </c>
      <c r="H61" s="305"/>
      <c r="I61" s="305"/>
    </row>
    <row r="62" spans="1:9" x14ac:dyDescent="0.2">
      <c r="A62" s="310" t="s">
        <v>1372</v>
      </c>
      <c r="B62" s="310" t="s">
        <v>1365</v>
      </c>
      <c r="C62" s="309">
        <v>42056</v>
      </c>
      <c r="D62" s="308" t="s">
        <v>1483</v>
      </c>
      <c r="E62" s="307">
        <v>1</v>
      </c>
      <c r="F62" s="311">
        <v>300</v>
      </c>
      <c r="G62" s="303">
        <f>58-(12)</f>
        <v>46</v>
      </c>
      <c r="H62" s="305"/>
      <c r="I62" s="305"/>
    </row>
    <row r="63" spans="1:9" x14ac:dyDescent="0.2">
      <c r="A63" s="310" t="s">
        <v>1370</v>
      </c>
      <c r="B63" s="310" t="s">
        <v>1373</v>
      </c>
      <c r="C63" s="309">
        <v>42288</v>
      </c>
      <c r="D63" s="308" t="s">
        <v>1928</v>
      </c>
      <c r="E63" s="307">
        <v>1</v>
      </c>
      <c r="F63" s="311">
        <v>500</v>
      </c>
      <c r="G63" s="306">
        <f>53-(7)</f>
        <v>46</v>
      </c>
      <c r="H63" s="305"/>
      <c r="I63" s="305"/>
    </row>
    <row r="64" spans="1:9" x14ac:dyDescent="0.2">
      <c r="A64" s="310" t="s">
        <v>1370</v>
      </c>
      <c r="B64" s="310" t="s">
        <v>1373</v>
      </c>
      <c r="C64" s="309">
        <v>42288</v>
      </c>
      <c r="D64" s="308" t="s">
        <v>1550</v>
      </c>
      <c r="E64" s="307">
        <v>1</v>
      </c>
      <c r="F64" s="311">
        <v>500</v>
      </c>
      <c r="G64" s="306">
        <f>53-(7)</f>
        <v>46</v>
      </c>
      <c r="H64" s="305"/>
      <c r="I64" s="305"/>
    </row>
    <row r="65" spans="1:9" x14ac:dyDescent="0.2">
      <c r="A65" s="310" t="s">
        <v>1370</v>
      </c>
      <c r="B65" s="310" t="s">
        <v>1373</v>
      </c>
      <c r="C65" s="309">
        <v>42658</v>
      </c>
      <c r="D65" s="308" t="s">
        <v>2330</v>
      </c>
      <c r="E65" s="307">
        <v>1</v>
      </c>
      <c r="F65" s="311">
        <v>500</v>
      </c>
      <c r="G65" s="306">
        <f>53-(7)</f>
        <v>46</v>
      </c>
      <c r="H65" s="305"/>
      <c r="I65" s="305"/>
    </row>
    <row r="66" spans="1:9" x14ac:dyDescent="0.2">
      <c r="A66" s="310" t="s">
        <v>1362</v>
      </c>
      <c r="B66" s="310" t="s">
        <v>1365</v>
      </c>
      <c r="C66" s="309">
        <v>42058</v>
      </c>
      <c r="D66" s="308" t="s">
        <v>1658</v>
      </c>
      <c r="E66" s="307">
        <v>1</v>
      </c>
      <c r="F66" s="311">
        <v>400</v>
      </c>
      <c r="G66" s="303">
        <f>58-(12)</f>
        <v>46</v>
      </c>
      <c r="H66" s="305"/>
      <c r="I66" s="305"/>
    </row>
    <row r="67" spans="1:9" x14ac:dyDescent="0.2">
      <c r="A67" s="310" t="s">
        <v>1362</v>
      </c>
      <c r="B67" s="310" t="s">
        <v>1365</v>
      </c>
      <c r="C67" s="309">
        <v>42058</v>
      </c>
      <c r="D67" s="308" t="s">
        <v>1644</v>
      </c>
      <c r="E67" s="307">
        <v>1</v>
      </c>
      <c r="F67" s="311">
        <v>400</v>
      </c>
      <c r="G67" s="303">
        <f>58-(12)</f>
        <v>46</v>
      </c>
      <c r="H67" s="305"/>
      <c r="I67" s="305"/>
    </row>
    <row r="68" spans="1:9" x14ac:dyDescent="0.2">
      <c r="A68" s="310" t="s">
        <v>1362</v>
      </c>
      <c r="B68" s="310" t="s">
        <v>1365</v>
      </c>
      <c r="C68" s="309">
        <v>42058</v>
      </c>
      <c r="D68" s="308" t="s">
        <v>1522</v>
      </c>
      <c r="E68" s="307">
        <v>1</v>
      </c>
      <c r="F68" s="311">
        <v>400</v>
      </c>
      <c r="G68" s="303">
        <f>58-(12)</f>
        <v>46</v>
      </c>
      <c r="H68" s="305"/>
      <c r="I68" s="305"/>
    </row>
    <row r="69" spans="1:9" x14ac:dyDescent="0.2">
      <c r="A69" s="310" t="s">
        <v>1362</v>
      </c>
      <c r="B69" s="310" t="s">
        <v>1365</v>
      </c>
      <c r="C69" s="309">
        <v>42654</v>
      </c>
      <c r="D69" s="308" t="s">
        <v>2886</v>
      </c>
      <c r="E69" s="307">
        <v>1</v>
      </c>
      <c r="F69" s="311">
        <v>400</v>
      </c>
      <c r="G69" s="303">
        <f>58-(12)</f>
        <v>46</v>
      </c>
      <c r="H69" s="305"/>
      <c r="I69" s="305"/>
    </row>
    <row r="70" spans="1:9" x14ac:dyDescent="0.2">
      <c r="A70" s="310" t="s">
        <v>1362</v>
      </c>
      <c r="B70" s="310" t="s">
        <v>1365</v>
      </c>
      <c r="C70" s="309">
        <v>42654</v>
      </c>
      <c r="D70" s="308" t="s">
        <v>2866</v>
      </c>
      <c r="E70" s="307">
        <v>1</v>
      </c>
      <c r="F70" s="311">
        <v>400</v>
      </c>
      <c r="G70" s="303">
        <f>58-(12)</f>
        <v>46</v>
      </c>
      <c r="H70" s="305"/>
      <c r="I70" s="305"/>
    </row>
    <row r="71" spans="1:9" x14ac:dyDescent="0.2">
      <c r="A71" s="310" t="s">
        <v>1313</v>
      </c>
      <c r="B71" s="310" t="s">
        <v>1361</v>
      </c>
      <c r="C71" s="309">
        <v>42177</v>
      </c>
      <c r="D71" s="308" t="s">
        <v>1745</v>
      </c>
      <c r="E71" s="307">
        <v>1</v>
      </c>
      <c r="F71" s="311">
        <v>200</v>
      </c>
      <c r="G71" s="303">
        <f>52-(5)</f>
        <v>47</v>
      </c>
      <c r="H71" s="305"/>
      <c r="I71" s="305"/>
    </row>
    <row r="72" spans="1:9" x14ac:dyDescent="0.2">
      <c r="A72" s="310" t="s">
        <v>1313</v>
      </c>
      <c r="B72" s="310" t="s">
        <v>1373</v>
      </c>
      <c r="C72" s="309">
        <v>42384</v>
      </c>
      <c r="D72" s="308" t="s">
        <v>2168</v>
      </c>
      <c r="E72" s="307">
        <v>1</v>
      </c>
      <c r="F72" s="311">
        <v>210</v>
      </c>
      <c r="G72" s="306">
        <f>54-(7)</f>
        <v>47</v>
      </c>
      <c r="H72" s="305"/>
      <c r="I72" s="305"/>
    </row>
    <row r="73" spans="1:9" x14ac:dyDescent="0.2">
      <c r="A73" s="310" t="s">
        <v>1372</v>
      </c>
      <c r="B73" s="310" t="s">
        <v>1365</v>
      </c>
      <c r="C73" s="309">
        <v>42488</v>
      </c>
      <c r="D73" s="308" t="s">
        <v>2265</v>
      </c>
      <c r="E73" s="307">
        <v>1</v>
      </c>
      <c r="F73" s="311">
        <v>310</v>
      </c>
      <c r="G73" s="303">
        <f>59-(12)</f>
        <v>47</v>
      </c>
      <c r="H73" s="305"/>
      <c r="I73" s="305"/>
    </row>
    <row r="74" spans="1:9" x14ac:dyDescent="0.2">
      <c r="A74" s="310" t="s">
        <v>1372</v>
      </c>
      <c r="B74" s="310" t="s">
        <v>1365</v>
      </c>
      <c r="C74" s="309">
        <v>42488</v>
      </c>
      <c r="D74" s="308" t="s">
        <v>2274</v>
      </c>
      <c r="E74" s="307">
        <v>1</v>
      </c>
      <c r="F74" s="311">
        <v>310</v>
      </c>
      <c r="G74" s="303">
        <f>59-(12)</f>
        <v>47</v>
      </c>
      <c r="H74" s="305"/>
      <c r="I74" s="305"/>
    </row>
    <row r="75" spans="1:9" x14ac:dyDescent="0.2">
      <c r="A75" s="310" t="s">
        <v>1370</v>
      </c>
      <c r="B75" s="310" t="s">
        <v>1361</v>
      </c>
      <c r="C75" s="309">
        <v>42139</v>
      </c>
      <c r="D75" s="308" t="s">
        <v>1576</v>
      </c>
      <c r="E75" s="307">
        <v>1</v>
      </c>
      <c r="F75" s="311">
        <v>500</v>
      </c>
      <c r="G75" s="303">
        <f>52-(5)</f>
        <v>47</v>
      </c>
      <c r="H75" s="305"/>
      <c r="I75" s="305"/>
    </row>
    <row r="76" spans="1:9" x14ac:dyDescent="0.2">
      <c r="A76" s="310" t="s">
        <v>1370</v>
      </c>
      <c r="B76" s="310" t="s">
        <v>1361</v>
      </c>
      <c r="C76" s="309">
        <v>42139</v>
      </c>
      <c r="D76" s="308" t="s">
        <v>1486</v>
      </c>
      <c r="E76" s="307">
        <v>1</v>
      </c>
      <c r="F76" s="311">
        <v>500</v>
      </c>
      <c r="G76" s="303">
        <f>52-(5)</f>
        <v>47</v>
      </c>
      <c r="H76" s="305"/>
      <c r="I76" s="305"/>
    </row>
    <row r="77" spans="1:9" x14ac:dyDescent="0.2">
      <c r="A77" s="310" t="s">
        <v>1370</v>
      </c>
      <c r="B77" s="310" t="s">
        <v>1373</v>
      </c>
      <c r="C77" s="309">
        <v>42658</v>
      </c>
      <c r="D77" s="308" t="s">
        <v>2340</v>
      </c>
      <c r="E77" s="307">
        <v>1</v>
      </c>
      <c r="F77" s="311">
        <v>500</v>
      </c>
      <c r="G77" s="306">
        <f>54-(7)</f>
        <v>47</v>
      </c>
      <c r="H77" s="305"/>
      <c r="I77" s="305"/>
    </row>
    <row r="78" spans="1:9" x14ac:dyDescent="0.2">
      <c r="A78" s="310" t="s">
        <v>1362</v>
      </c>
      <c r="B78" s="310" t="s">
        <v>1365</v>
      </c>
      <c r="C78" s="309">
        <v>42268</v>
      </c>
      <c r="D78" s="308" t="s">
        <v>1575</v>
      </c>
      <c r="E78" s="307">
        <v>1</v>
      </c>
      <c r="F78" s="311">
        <v>400</v>
      </c>
      <c r="G78" s="303">
        <f>59-(12)</f>
        <v>47</v>
      </c>
      <c r="H78" s="305"/>
      <c r="I78" s="305"/>
    </row>
    <row r="79" spans="1:9" x14ac:dyDescent="0.2">
      <c r="A79" s="310" t="s">
        <v>1362</v>
      </c>
      <c r="B79" s="310" t="s">
        <v>1365</v>
      </c>
      <c r="C79" s="309">
        <v>42654</v>
      </c>
      <c r="D79" s="308" t="s">
        <v>2850</v>
      </c>
      <c r="E79" s="307">
        <v>1</v>
      </c>
      <c r="F79" s="311">
        <v>400</v>
      </c>
      <c r="G79" s="303">
        <f>59-(12)</f>
        <v>47</v>
      </c>
      <c r="H79" s="305"/>
      <c r="I79" s="305"/>
    </row>
    <row r="80" spans="1:9" x14ac:dyDescent="0.2">
      <c r="A80" s="310" t="s">
        <v>1362</v>
      </c>
      <c r="B80" s="310" t="s">
        <v>1365</v>
      </c>
      <c r="C80" s="309">
        <v>42654</v>
      </c>
      <c r="D80" s="308" t="s">
        <v>2883</v>
      </c>
      <c r="E80" s="307">
        <v>1</v>
      </c>
      <c r="F80" s="311">
        <v>400</v>
      </c>
      <c r="G80" s="303">
        <f>59-(12)</f>
        <v>47</v>
      </c>
      <c r="H80" s="305"/>
      <c r="I80" s="305"/>
    </row>
    <row r="81" spans="1:9" x14ac:dyDescent="0.2">
      <c r="A81" s="310" t="s">
        <v>1319</v>
      </c>
      <c r="B81" s="310" t="s">
        <v>1361</v>
      </c>
      <c r="C81" s="309">
        <v>42019</v>
      </c>
      <c r="D81" s="308" t="s">
        <v>1611</v>
      </c>
      <c r="E81" s="307">
        <v>1</v>
      </c>
      <c r="F81" s="311">
        <v>100</v>
      </c>
      <c r="G81" s="303">
        <f>53-(5)</f>
        <v>48</v>
      </c>
      <c r="H81" s="305"/>
      <c r="I81" s="305"/>
    </row>
    <row r="82" spans="1:9" x14ac:dyDescent="0.2">
      <c r="A82" s="310" t="s">
        <v>1319</v>
      </c>
      <c r="B82" s="310" t="s">
        <v>1361</v>
      </c>
      <c r="C82" s="309">
        <v>42019</v>
      </c>
      <c r="D82" s="308" t="s">
        <v>1719</v>
      </c>
      <c r="E82" s="307">
        <v>1</v>
      </c>
      <c r="F82" s="311">
        <v>100</v>
      </c>
      <c r="G82" s="303">
        <f>53-(5)</f>
        <v>48</v>
      </c>
      <c r="H82" s="305"/>
      <c r="I82" s="305"/>
    </row>
    <row r="83" spans="1:9" x14ac:dyDescent="0.2">
      <c r="A83" s="310" t="s">
        <v>1313</v>
      </c>
      <c r="B83" s="310" t="s">
        <v>1361</v>
      </c>
      <c r="C83" s="309">
        <v>42177</v>
      </c>
      <c r="D83" s="308" t="s">
        <v>1748</v>
      </c>
      <c r="E83" s="307">
        <v>1</v>
      </c>
      <c r="F83" s="311">
        <v>200</v>
      </c>
      <c r="G83" s="303">
        <f>53-(5)</f>
        <v>48</v>
      </c>
      <c r="H83" s="305"/>
      <c r="I83" s="305"/>
    </row>
    <row r="84" spans="1:9" x14ac:dyDescent="0.2">
      <c r="A84" s="310" t="s">
        <v>1313</v>
      </c>
      <c r="B84" s="310" t="s">
        <v>1361</v>
      </c>
      <c r="C84" s="309">
        <v>42177</v>
      </c>
      <c r="D84" s="308" t="s">
        <v>1975</v>
      </c>
      <c r="E84" s="307">
        <v>1</v>
      </c>
      <c r="F84" s="311">
        <v>200</v>
      </c>
      <c r="G84" s="303">
        <f>53-(5)</f>
        <v>48</v>
      </c>
      <c r="H84" s="305"/>
      <c r="I84" s="305"/>
    </row>
    <row r="85" spans="1:9" x14ac:dyDescent="0.2">
      <c r="A85" s="310" t="s">
        <v>1313</v>
      </c>
      <c r="B85" s="310" t="s">
        <v>1361</v>
      </c>
      <c r="C85" s="309">
        <v>42636</v>
      </c>
      <c r="D85" s="308" t="s">
        <v>2209</v>
      </c>
      <c r="E85" s="307">
        <v>1</v>
      </c>
      <c r="F85" s="311">
        <v>210</v>
      </c>
      <c r="G85" s="303">
        <f>53-(5)</f>
        <v>48</v>
      </c>
      <c r="H85" s="305"/>
      <c r="I85" s="305"/>
    </row>
    <row r="86" spans="1:9" x14ac:dyDescent="0.2">
      <c r="A86" s="310" t="s">
        <v>1374</v>
      </c>
      <c r="B86" s="310" t="s">
        <v>1369</v>
      </c>
      <c r="C86" s="309">
        <v>42531</v>
      </c>
      <c r="D86" s="308" t="s">
        <v>2237</v>
      </c>
      <c r="E86" s="307">
        <v>1</v>
      </c>
      <c r="F86" s="311">
        <v>320</v>
      </c>
      <c r="G86" s="307">
        <v>48</v>
      </c>
      <c r="H86" s="305"/>
      <c r="I86" s="305"/>
    </row>
    <row r="87" spans="1:9" x14ac:dyDescent="0.2">
      <c r="A87" s="310" t="s">
        <v>1374</v>
      </c>
      <c r="B87" s="310" t="s">
        <v>1369</v>
      </c>
      <c r="C87" s="309">
        <v>42531</v>
      </c>
      <c r="D87" s="308" t="s">
        <v>2239</v>
      </c>
      <c r="E87" s="307">
        <v>1</v>
      </c>
      <c r="F87" s="311">
        <v>320</v>
      </c>
      <c r="G87" s="307">
        <v>48</v>
      </c>
      <c r="H87" s="305"/>
      <c r="I87" s="305"/>
    </row>
    <row r="88" spans="1:9" x14ac:dyDescent="0.2">
      <c r="A88" s="310" t="s">
        <v>1372</v>
      </c>
      <c r="B88" s="310" t="s">
        <v>1365</v>
      </c>
      <c r="C88" s="309">
        <v>42056</v>
      </c>
      <c r="D88" s="308" t="s">
        <v>1729</v>
      </c>
      <c r="E88" s="307">
        <v>1</v>
      </c>
      <c r="F88" s="311">
        <v>300</v>
      </c>
      <c r="G88" s="303">
        <f>60-(12)</f>
        <v>48</v>
      </c>
      <c r="H88" s="305"/>
      <c r="I88" s="305"/>
    </row>
    <row r="89" spans="1:9" x14ac:dyDescent="0.2">
      <c r="A89" s="310" t="s">
        <v>1372</v>
      </c>
      <c r="B89" s="310" t="s">
        <v>1363</v>
      </c>
      <c r="C89" s="309">
        <v>42685</v>
      </c>
      <c r="D89" s="308" t="s">
        <v>2322</v>
      </c>
      <c r="E89" s="307">
        <v>1</v>
      </c>
      <c r="F89" s="311">
        <v>310</v>
      </c>
      <c r="G89" s="307">
        <v>48</v>
      </c>
      <c r="H89" s="305"/>
      <c r="I89" s="305"/>
    </row>
    <row r="90" spans="1:9" x14ac:dyDescent="0.2">
      <c r="A90" s="310" t="s">
        <v>1372</v>
      </c>
      <c r="B90" s="310" t="s">
        <v>1363</v>
      </c>
      <c r="C90" s="309">
        <v>42685</v>
      </c>
      <c r="D90" s="308" t="s">
        <v>2281</v>
      </c>
      <c r="E90" s="307">
        <v>1</v>
      </c>
      <c r="F90" s="311">
        <v>310</v>
      </c>
      <c r="G90" s="307">
        <v>48</v>
      </c>
      <c r="H90" s="305"/>
      <c r="I90" s="305"/>
    </row>
    <row r="91" spans="1:9" x14ac:dyDescent="0.2">
      <c r="A91" s="310" t="s">
        <v>1370</v>
      </c>
      <c r="B91" s="310" t="s">
        <v>1361</v>
      </c>
      <c r="C91" s="309">
        <v>42139</v>
      </c>
      <c r="D91" s="308" t="s">
        <v>1908</v>
      </c>
      <c r="E91" s="307">
        <v>1</v>
      </c>
      <c r="F91" s="311">
        <v>500</v>
      </c>
      <c r="G91" s="303">
        <f>53-(5)</f>
        <v>48</v>
      </c>
      <c r="H91" s="305"/>
      <c r="I91" s="305"/>
    </row>
    <row r="92" spans="1:9" x14ac:dyDescent="0.2">
      <c r="A92" s="310" t="s">
        <v>1370</v>
      </c>
      <c r="B92" s="310" t="s">
        <v>1361</v>
      </c>
      <c r="C92" s="309">
        <v>42447</v>
      </c>
      <c r="D92" s="308" t="s">
        <v>2376</v>
      </c>
      <c r="E92" s="307">
        <v>1</v>
      </c>
      <c r="F92" s="311">
        <v>500</v>
      </c>
      <c r="G92" s="303">
        <f>53-(5)</f>
        <v>48</v>
      </c>
      <c r="H92" s="305"/>
      <c r="I92" s="305"/>
    </row>
    <row r="93" spans="1:9" x14ac:dyDescent="0.2">
      <c r="A93" s="310" t="s">
        <v>1370</v>
      </c>
      <c r="B93" s="310" t="s">
        <v>1373</v>
      </c>
      <c r="C93" s="309">
        <v>42658</v>
      </c>
      <c r="D93" s="308" t="s">
        <v>2364</v>
      </c>
      <c r="E93" s="307">
        <v>1</v>
      </c>
      <c r="F93" s="311">
        <v>500</v>
      </c>
      <c r="G93" s="306">
        <f>55-(7)</f>
        <v>48</v>
      </c>
      <c r="H93" s="305"/>
      <c r="I93" s="305"/>
    </row>
    <row r="94" spans="1:9" x14ac:dyDescent="0.2">
      <c r="A94" s="310" t="s">
        <v>1362</v>
      </c>
      <c r="B94" s="310" t="s">
        <v>1365</v>
      </c>
      <c r="C94" s="309">
        <v>42058</v>
      </c>
      <c r="D94" s="308" t="s">
        <v>1563</v>
      </c>
      <c r="E94" s="307">
        <v>1</v>
      </c>
      <c r="F94" s="311">
        <v>400</v>
      </c>
      <c r="G94" s="303">
        <f>60-(12)</f>
        <v>48</v>
      </c>
      <c r="H94" s="305"/>
      <c r="I94" s="305"/>
    </row>
    <row r="95" spans="1:9" x14ac:dyDescent="0.2">
      <c r="A95" s="310" t="s">
        <v>1362</v>
      </c>
      <c r="B95" s="310" t="s">
        <v>1365</v>
      </c>
      <c r="C95" s="309">
        <v>42058</v>
      </c>
      <c r="D95" s="308" t="s">
        <v>1626</v>
      </c>
      <c r="E95" s="307">
        <v>1</v>
      </c>
      <c r="F95" s="311">
        <v>400</v>
      </c>
      <c r="G95" s="303">
        <f>60-(12)</f>
        <v>48</v>
      </c>
      <c r="H95" s="305"/>
      <c r="I95" s="305"/>
    </row>
    <row r="96" spans="1:9" x14ac:dyDescent="0.2">
      <c r="A96" s="310" t="s">
        <v>1362</v>
      </c>
      <c r="B96" s="310" t="s">
        <v>1365</v>
      </c>
      <c r="C96" s="309">
        <v>42592</v>
      </c>
      <c r="D96" s="308" t="s">
        <v>2832</v>
      </c>
      <c r="E96" s="307">
        <v>1</v>
      </c>
      <c r="F96" s="311">
        <v>400</v>
      </c>
      <c r="G96" s="303">
        <f>60-(12)</f>
        <v>48</v>
      </c>
      <c r="H96" s="305"/>
      <c r="I96" s="305"/>
    </row>
    <row r="97" spans="1:9" x14ac:dyDescent="0.2">
      <c r="A97" s="310" t="s">
        <v>1362</v>
      </c>
      <c r="B97" s="310" t="s">
        <v>1365</v>
      </c>
      <c r="C97" s="309">
        <v>42654</v>
      </c>
      <c r="D97" s="308" t="s">
        <v>2897</v>
      </c>
      <c r="E97" s="307">
        <v>1</v>
      </c>
      <c r="F97" s="311">
        <v>400</v>
      </c>
      <c r="G97" s="303">
        <f>60-(12)</f>
        <v>48</v>
      </c>
      <c r="H97" s="305"/>
      <c r="I97" s="305"/>
    </row>
    <row r="98" spans="1:9" x14ac:dyDescent="0.2">
      <c r="A98" s="310" t="s">
        <v>1362</v>
      </c>
      <c r="B98" s="310" t="s">
        <v>1365</v>
      </c>
      <c r="C98" s="309">
        <v>42654</v>
      </c>
      <c r="D98" s="308" t="s">
        <v>2882</v>
      </c>
      <c r="E98" s="307">
        <v>1</v>
      </c>
      <c r="F98" s="311">
        <v>400</v>
      </c>
      <c r="G98" s="303">
        <f>60-(12)</f>
        <v>48</v>
      </c>
      <c r="H98" s="305"/>
      <c r="I98" s="305"/>
    </row>
    <row r="99" spans="1:9" x14ac:dyDescent="0.2">
      <c r="A99" s="310" t="s">
        <v>1359</v>
      </c>
      <c r="B99" s="310" t="s">
        <v>1363</v>
      </c>
      <c r="C99" s="309">
        <v>42424</v>
      </c>
      <c r="D99" s="308" t="s">
        <v>2954</v>
      </c>
      <c r="E99" s="307">
        <v>1</v>
      </c>
      <c r="F99" s="311">
        <v>400</v>
      </c>
      <c r="G99" s="307">
        <v>48</v>
      </c>
      <c r="H99" s="305"/>
      <c r="I99" s="305"/>
    </row>
    <row r="100" spans="1:9" x14ac:dyDescent="0.2">
      <c r="A100" s="310" t="s">
        <v>1358</v>
      </c>
      <c r="B100" s="310" t="s">
        <v>1375</v>
      </c>
      <c r="C100" s="309">
        <v>42460</v>
      </c>
      <c r="D100" s="308" t="s">
        <v>3027</v>
      </c>
      <c r="E100" s="307">
        <v>1</v>
      </c>
      <c r="F100" s="311">
        <v>320</v>
      </c>
      <c r="G100" s="307">
        <v>48</v>
      </c>
      <c r="H100" s="305"/>
      <c r="I100" s="305"/>
    </row>
    <row r="101" spans="1:9" x14ac:dyDescent="0.2">
      <c r="A101" s="310" t="s">
        <v>1358</v>
      </c>
      <c r="B101" s="310" t="s">
        <v>1375</v>
      </c>
      <c r="C101" s="309">
        <v>42460</v>
      </c>
      <c r="D101" s="308" t="s">
        <v>3012</v>
      </c>
      <c r="E101" s="307">
        <v>1</v>
      </c>
      <c r="F101" s="311">
        <v>320</v>
      </c>
      <c r="G101" s="307">
        <v>48</v>
      </c>
      <c r="H101" s="305"/>
      <c r="I101" s="305"/>
    </row>
    <row r="102" spans="1:9" x14ac:dyDescent="0.2">
      <c r="A102" s="310" t="s">
        <v>1358</v>
      </c>
      <c r="B102" s="310" t="s">
        <v>1375</v>
      </c>
      <c r="C102" s="309">
        <v>42460</v>
      </c>
      <c r="D102" s="308" t="s">
        <v>3010</v>
      </c>
      <c r="E102" s="307">
        <v>1</v>
      </c>
      <c r="F102" s="311">
        <v>320</v>
      </c>
      <c r="G102" s="307">
        <v>48</v>
      </c>
      <c r="H102" s="305"/>
      <c r="I102" s="305"/>
    </row>
    <row r="103" spans="1:9" x14ac:dyDescent="0.2">
      <c r="A103" s="310" t="s">
        <v>1374</v>
      </c>
      <c r="B103" s="310" t="s">
        <v>1369</v>
      </c>
      <c r="C103" s="309">
        <v>42531</v>
      </c>
      <c r="D103" s="308" t="s">
        <v>2233</v>
      </c>
      <c r="E103" s="307">
        <v>1</v>
      </c>
      <c r="F103" s="311">
        <v>320</v>
      </c>
      <c r="G103" s="307">
        <v>49</v>
      </c>
      <c r="H103" s="305"/>
      <c r="I103" s="305"/>
    </row>
    <row r="104" spans="1:9" x14ac:dyDescent="0.2">
      <c r="A104" s="310" t="s">
        <v>1372</v>
      </c>
      <c r="B104" s="310" t="s">
        <v>1363</v>
      </c>
      <c r="C104" s="309">
        <v>42685</v>
      </c>
      <c r="D104" s="308" t="s">
        <v>2320</v>
      </c>
      <c r="E104" s="307">
        <v>1</v>
      </c>
      <c r="F104" s="311">
        <v>310</v>
      </c>
      <c r="G104" s="307">
        <v>49</v>
      </c>
      <c r="H104" s="305"/>
      <c r="I104" s="305"/>
    </row>
    <row r="105" spans="1:9" x14ac:dyDescent="0.2">
      <c r="A105" s="310" t="s">
        <v>1372</v>
      </c>
      <c r="B105" s="310" t="s">
        <v>1363</v>
      </c>
      <c r="C105" s="309">
        <v>42685</v>
      </c>
      <c r="D105" s="308" t="s">
        <v>2306</v>
      </c>
      <c r="E105" s="307">
        <v>1</v>
      </c>
      <c r="F105" s="311">
        <v>310</v>
      </c>
      <c r="G105" s="307">
        <v>49</v>
      </c>
      <c r="H105" s="305"/>
      <c r="I105" s="305"/>
    </row>
    <row r="106" spans="1:9" x14ac:dyDescent="0.2">
      <c r="A106" s="310" t="s">
        <v>1370</v>
      </c>
      <c r="B106" s="310" t="s">
        <v>1361</v>
      </c>
      <c r="C106" s="309">
        <v>42036</v>
      </c>
      <c r="D106" s="308" t="s">
        <v>1923</v>
      </c>
      <c r="E106" s="307">
        <v>1</v>
      </c>
      <c r="F106" s="311">
        <v>500</v>
      </c>
      <c r="G106" s="303">
        <f>54-(5)</f>
        <v>49</v>
      </c>
      <c r="H106" s="305"/>
      <c r="I106" s="305"/>
    </row>
    <row r="107" spans="1:9" x14ac:dyDescent="0.2">
      <c r="A107" s="310" t="s">
        <v>1370</v>
      </c>
      <c r="B107" s="310" t="s">
        <v>1373</v>
      </c>
      <c r="C107" s="309">
        <v>42658</v>
      </c>
      <c r="D107" s="308" t="s">
        <v>2362</v>
      </c>
      <c r="E107" s="307">
        <v>1</v>
      </c>
      <c r="F107" s="311">
        <v>500</v>
      </c>
      <c r="G107" s="306">
        <f>56-(7)</f>
        <v>49</v>
      </c>
      <c r="H107" s="305"/>
      <c r="I107" s="305"/>
    </row>
    <row r="108" spans="1:9" x14ac:dyDescent="0.2">
      <c r="A108" s="310" t="s">
        <v>1370</v>
      </c>
      <c r="B108" s="310" t="s">
        <v>1373</v>
      </c>
      <c r="C108" s="309">
        <v>42658</v>
      </c>
      <c r="D108" s="308" t="s">
        <v>2345</v>
      </c>
      <c r="E108" s="307">
        <v>1</v>
      </c>
      <c r="F108" s="311">
        <v>500</v>
      </c>
      <c r="G108" s="306">
        <f>56-(7)</f>
        <v>49</v>
      </c>
      <c r="H108" s="305"/>
      <c r="I108" s="305"/>
    </row>
    <row r="109" spans="1:9" x14ac:dyDescent="0.2">
      <c r="A109" s="310" t="s">
        <v>1370</v>
      </c>
      <c r="B109" s="310" t="s">
        <v>1373</v>
      </c>
      <c r="C109" s="309">
        <v>42658</v>
      </c>
      <c r="D109" s="308" t="s">
        <v>2368</v>
      </c>
      <c r="E109" s="307">
        <v>1</v>
      </c>
      <c r="F109" s="311">
        <v>500</v>
      </c>
      <c r="G109" s="306">
        <f>56-(7)</f>
        <v>49</v>
      </c>
      <c r="H109" s="305"/>
      <c r="I109" s="305"/>
    </row>
    <row r="110" spans="1:9" x14ac:dyDescent="0.2">
      <c r="A110" s="310" t="s">
        <v>1370</v>
      </c>
      <c r="B110" s="310" t="s">
        <v>1373</v>
      </c>
      <c r="C110" s="309">
        <v>42658</v>
      </c>
      <c r="D110" s="308" t="s">
        <v>2348</v>
      </c>
      <c r="E110" s="307">
        <v>1</v>
      </c>
      <c r="F110" s="311">
        <v>500</v>
      </c>
      <c r="G110" s="306">
        <f>56-(7)</f>
        <v>49</v>
      </c>
      <c r="H110" s="305"/>
      <c r="I110" s="305"/>
    </row>
    <row r="111" spans="1:9" x14ac:dyDescent="0.2">
      <c r="A111" s="310" t="s">
        <v>1362</v>
      </c>
      <c r="B111" s="310" t="s">
        <v>1365</v>
      </c>
      <c r="C111" s="309">
        <v>42058</v>
      </c>
      <c r="D111" s="308" t="s">
        <v>1651</v>
      </c>
      <c r="E111" s="307">
        <v>1</v>
      </c>
      <c r="F111" s="311">
        <v>400</v>
      </c>
      <c r="G111" s="303">
        <f>61-(12)</f>
        <v>49</v>
      </c>
      <c r="H111" s="305"/>
      <c r="I111" s="305"/>
    </row>
    <row r="112" spans="1:9" x14ac:dyDescent="0.2">
      <c r="A112" s="310" t="s">
        <v>1362</v>
      </c>
      <c r="B112" s="310" t="s">
        <v>1365</v>
      </c>
      <c r="C112" s="309">
        <v>42268</v>
      </c>
      <c r="D112" s="308" t="s">
        <v>1572</v>
      </c>
      <c r="E112" s="307">
        <v>1</v>
      </c>
      <c r="F112" s="311">
        <v>400</v>
      </c>
      <c r="G112" s="303">
        <f>61-(12)</f>
        <v>49</v>
      </c>
      <c r="H112" s="305"/>
      <c r="I112" s="305"/>
    </row>
    <row r="113" spans="1:9" x14ac:dyDescent="0.2">
      <c r="A113" s="310" t="s">
        <v>1362</v>
      </c>
      <c r="B113" s="310" t="s">
        <v>1365</v>
      </c>
      <c r="C113" s="309">
        <v>42592</v>
      </c>
      <c r="D113" s="308" t="s">
        <v>2811</v>
      </c>
      <c r="E113" s="307">
        <v>1</v>
      </c>
      <c r="F113" s="311">
        <v>400</v>
      </c>
      <c r="G113" s="303">
        <f>61-(12)</f>
        <v>49</v>
      </c>
      <c r="H113" s="305"/>
      <c r="I113" s="305"/>
    </row>
    <row r="114" spans="1:9" x14ac:dyDescent="0.2">
      <c r="A114" s="310" t="s">
        <v>1362</v>
      </c>
      <c r="B114" s="310" t="s">
        <v>1365</v>
      </c>
      <c r="C114" s="309">
        <v>42654</v>
      </c>
      <c r="D114" s="308" t="s">
        <v>2869</v>
      </c>
      <c r="E114" s="307">
        <v>1</v>
      </c>
      <c r="F114" s="311">
        <v>400</v>
      </c>
      <c r="G114" s="303">
        <f>61-(12)</f>
        <v>49</v>
      </c>
      <c r="H114" s="305"/>
      <c r="I114" s="305"/>
    </row>
    <row r="115" spans="1:9" x14ac:dyDescent="0.2">
      <c r="A115" s="310" t="s">
        <v>1319</v>
      </c>
      <c r="B115" s="310" t="s">
        <v>1373</v>
      </c>
      <c r="C115" s="309">
        <v>42415</v>
      </c>
      <c r="D115" s="308" t="s">
        <v>2059</v>
      </c>
      <c r="E115" s="307">
        <v>1</v>
      </c>
      <c r="F115" s="311">
        <v>120</v>
      </c>
      <c r="G115" s="306">
        <f>57-(7)</f>
        <v>50</v>
      </c>
      <c r="H115" s="305"/>
      <c r="I115" s="305"/>
    </row>
    <row r="116" spans="1:9" x14ac:dyDescent="0.2">
      <c r="A116" s="310" t="s">
        <v>1313</v>
      </c>
      <c r="B116" s="310" t="s">
        <v>1361</v>
      </c>
      <c r="C116" s="309">
        <v>42177</v>
      </c>
      <c r="D116" s="308" t="s">
        <v>1671</v>
      </c>
      <c r="E116" s="307">
        <v>1</v>
      </c>
      <c r="F116" s="311">
        <v>200</v>
      </c>
      <c r="G116" s="303">
        <f>55-(5)</f>
        <v>50</v>
      </c>
      <c r="H116" s="305"/>
      <c r="I116" s="305"/>
    </row>
    <row r="117" spans="1:9" x14ac:dyDescent="0.2">
      <c r="A117" s="310" t="s">
        <v>1374</v>
      </c>
      <c r="B117" s="310" t="s">
        <v>1369</v>
      </c>
      <c r="C117" s="309">
        <v>42531</v>
      </c>
      <c r="D117" s="308" t="s">
        <v>2229</v>
      </c>
      <c r="E117" s="307">
        <v>1</v>
      </c>
      <c r="F117" s="311">
        <v>320</v>
      </c>
      <c r="G117" s="307">
        <v>50</v>
      </c>
      <c r="H117" s="305"/>
      <c r="I117" s="305"/>
    </row>
    <row r="118" spans="1:9" x14ac:dyDescent="0.2">
      <c r="A118" s="310" t="s">
        <v>1372</v>
      </c>
      <c r="B118" s="310" t="s">
        <v>1365</v>
      </c>
      <c r="C118" s="309">
        <v>42056</v>
      </c>
      <c r="D118" s="308" t="s">
        <v>1693</v>
      </c>
      <c r="E118" s="307">
        <v>1</v>
      </c>
      <c r="F118" s="311">
        <v>300</v>
      </c>
      <c r="G118" s="303">
        <f>62-(12)</f>
        <v>50</v>
      </c>
      <c r="H118" s="305"/>
      <c r="I118" s="305"/>
    </row>
    <row r="119" spans="1:9" x14ac:dyDescent="0.2">
      <c r="A119" s="310" t="s">
        <v>1372</v>
      </c>
      <c r="B119" s="310" t="s">
        <v>1365</v>
      </c>
      <c r="C119" s="309">
        <v>42056</v>
      </c>
      <c r="D119" s="308" t="s">
        <v>1919</v>
      </c>
      <c r="E119" s="307">
        <v>1</v>
      </c>
      <c r="F119" s="311">
        <v>300</v>
      </c>
      <c r="G119" s="303">
        <f>62-(12)</f>
        <v>50</v>
      </c>
      <c r="H119" s="305"/>
      <c r="I119" s="305"/>
    </row>
    <row r="120" spans="1:9" x14ac:dyDescent="0.2">
      <c r="A120" s="310" t="s">
        <v>1372</v>
      </c>
      <c r="B120" s="310" t="s">
        <v>1363</v>
      </c>
      <c r="C120" s="309">
        <v>42271</v>
      </c>
      <c r="D120" s="308" t="s">
        <v>1784</v>
      </c>
      <c r="E120" s="307">
        <v>1</v>
      </c>
      <c r="F120" s="311">
        <v>300</v>
      </c>
      <c r="G120" s="307">
        <v>50</v>
      </c>
      <c r="H120" s="305"/>
      <c r="I120" s="305"/>
    </row>
    <row r="121" spans="1:9" x14ac:dyDescent="0.2">
      <c r="A121" s="310" t="s">
        <v>1372</v>
      </c>
      <c r="B121" s="310" t="s">
        <v>1363</v>
      </c>
      <c r="C121" s="309">
        <v>42685</v>
      </c>
      <c r="D121" s="308" t="s">
        <v>2325</v>
      </c>
      <c r="E121" s="307">
        <v>1</v>
      </c>
      <c r="F121" s="311">
        <v>310</v>
      </c>
      <c r="G121" s="307">
        <v>50</v>
      </c>
      <c r="H121" s="305"/>
      <c r="I121" s="305"/>
    </row>
    <row r="122" spans="1:9" x14ac:dyDescent="0.2">
      <c r="A122" s="310" t="s">
        <v>1372</v>
      </c>
      <c r="B122" s="310" t="s">
        <v>1363</v>
      </c>
      <c r="C122" s="309">
        <v>42685</v>
      </c>
      <c r="D122" s="308" t="s">
        <v>2312</v>
      </c>
      <c r="E122" s="307">
        <v>1</v>
      </c>
      <c r="F122" s="311">
        <v>310</v>
      </c>
      <c r="G122" s="307">
        <v>50</v>
      </c>
      <c r="H122" s="305"/>
      <c r="I122" s="305"/>
    </row>
    <row r="123" spans="1:9" x14ac:dyDescent="0.2">
      <c r="A123" s="310" t="s">
        <v>1372</v>
      </c>
      <c r="B123" s="310" t="s">
        <v>1363</v>
      </c>
      <c r="C123" s="309">
        <v>42685</v>
      </c>
      <c r="D123" s="308" t="s">
        <v>2283</v>
      </c>
      <c r="E123" s="307">
        <v>1</v>
      </c>
      <c r="F123" s="311">
        <v>310</v>
      </c>
      <c r="G123" s="307">
        <v>50</v>
      </c>
      <c r="H123" s="305"/>
      <c r="I123" s="305"/>
    </row>
    <row r="124" spans="1:9" x14ac:dyDescent="0.2">
      <c r="A124" s="310" t="s">
        <v>1370</v>
      </c>
      <c r="B124" s="310" t="s">
        <v>1361</v>
      </c>
      <c r="C124" s="309">
        <v>42036</v>
      </c>
      <c r="D124" s="308" t="s">
        <v>1921</v>
      </c>
      <c r="E124" s="307">
        <v>1</v>
      </c>
      <c r="F124" s="311">
        <v>500</v>
      </c>
      <c r="G124" s="303">
        <f t="shared" ref="G124:G129" si="1">55-(5)</f>
        <v>50</v>
      </c>
      <c r="H124" s="305"/>
      <c r="I124" s="305"/>
    </row>
    <row r="125" spans="1:9" x14ac:dyDescent="0.2">
      <c r="A125" s="310" t="s">
        <v>1370</v>
      </c>
      <c r="B125" s="310" t="s">
        <v>1361</v>
      </c>
      <c r="C125" s="309">
        <v>42036</v>
      </c>
      <c r="D125" s="308" t="s">
        <v>1595</v>
      </c>
      <c r="E125" s="307">
        <v>1</v>
      </c>
      <c r="F125" s="311">
        <v>500</v>
      </c>
      <c r="G125" s="303">
        <f t="shared" si="1"/>
        <v>50</v>
      </c>
      <c r="H125" s="305"/>
      <c r="I125" s="305"/>
    </row>
    <row r="126" spans="1:9" x14ac:dyDescent="0.2">
      <c r="A126" s="310" t="s">
        <v>1370</v>
      </c>
      <c r="B126" s="310" t="s">
        <v>1361</v>
      </c>
      <c r="C126" s="309">
        <v>42036</v>
      </c>
      <c r="D126" s="308" t="s">
        <v>1711</v>
      </c>
      <c r="E126" s="307">
        <v>1</v>
      </c>
      <c r="F126" s="311">
        <v>500</v>
      </c>
      <c r="G126" s="303">
        <f t="shared" si="1"/>
        <v>50</v>
      </c>
      <c r="H126" s="305"/>
      <c r="I126" s="305"/>
    </row>
    <row r="127" spans="1:9" x14ac:dyDescent="0.2">
      <c r="A127" s="310" t="s">
        <v>1370</v>
      </c>
      <c r="B127" s="310" t="s">
        <v>1361</v>
      </c>
      <c r="C127" s="309">
        <v>42036</v>
      </c>
      <c r="D127" s="308" t="s">
        <v>1547</v>
      </c>
      <c r="E127" s="307">
        <v>1</v>
      </c>
      <c r="F127" s="311">
        <v>500</v>
      </c>
      <c r="G127" s="303">
        <f t="shared" si="1"/>
        <v>50</v>
      </c>
      <c r="H127" s="305"/>
      <c r="I127" s="305"/>
    </row>
    <row r="128" spans="1:9" x14ac:dyDescent="0.2">
      <c r="A128" s="310" t="s">
        <v>1370</v>
      </c>
      <c r="B128" s="310" t="s">
        <v>1361</v>
      </c>
      <c r="C128" s="309">
        <v>42139</v>
      </c>
      <c r="D128" s="308" t="s">
        <v>1909</v>
      </c>
      <c r="E128" s="307">
        <v>1</v>
      </c>
      <c r="F128" s="311">
        <v>500</v>
      </c>
      <c r="G128" s="303">
        <f t="shared" si="1"/>
        <v>50</v>
      </c>
      <c r="H128" s="305"/>
      <c r="I128" s="305"/>
    </row>
    <row r="129" spans="1:9" x14ac:dyDescent="0.2">
      <c r="A129" s="310" t="s">
        <v>1370</v>
      </c>
      <c r="B129" s="310" t="s">
        <v>1361</v>
      </c>
      <c r="C129" s="309">
        <v>42139</v>
      </c>
      <c r="D129" s="308" t="s">
        <v>1504</v>
      </c>
      <c r="E129" s="307">
        <v>1</v>
      </c>
      <c r="F129" s="311">
        <v>500</v>
      </c>
      <c r="G129" s="303">
        <f t="shared" si="1"/>
        <v>50</v>
      </c>
      <c r="H129" s="305"/>
      <c r="I129" s="305"/>
    </row>
    <row r="130" spans="1:9" x14ac:dyDescent="0.2">
      <c r="A130" s="310" t="s">
        <v>1370</v>
      </c>
      <c r="B130" s="310" t="s">
        <v>1373</v>
      </c>
      <c r="C130" s="309">
        <v>42288</v>
      </c>
      <c r="D130" s="308" t="s">
        <v>1854</v>
      </c>
      <c r="E130" s="307">
        <v>1</v>
      </c>
      <c r="F130" s="311">
        <v>500</v>
      </c>
      <c r="G130" s="306">
        <f>57-(7)</f>
        <v>50</v>
      </c>
      <c r="H130" s="305"/>
      <c r="I130" s="305"/>
    </row>
    <row r="131" spans="1:9" x14ac:dyDescent="0.2">
      <c r="A131" s="310" t="s">
        <v>1370</v>
      </c>
      <c r="B131" s="310" t="s">
        <v>1361</v>
      </c>
      <c r="C131" s="309">
        <v>42447</v>
      </c>
      <c r="D131" s="308" t="s">
        <v>2409</v>
      </c>
      <c r="E131" s="307">
        <v>1</v>
      </c>
      <c r="F131" s="311">
        <v>500</v>
      </c>
      <c r="G131" s="303">
        <f>55-(5)</f>
        <v>50</v>
      </c>
      <c r="H131" s="305"/>
      <c r="I131" s="305"/>
    </row>
    <row r="132" spans="1:9" x14ac:dyDescent="0.2">
      <c r="A132" s="310" t="s">
        <v>1370</v>
      </c>
      <c r="B132" s="310" t="s">
        <v>1373</v>
      </c>
      <c r="C132" s="309">
        <v>42658</v>
      </c>
      <c r="D132" s="308" t="s">
        <v>2341</v>
      </c>
      <c r="E132" s="307">
        <v>1</v>
      </c>
      <c r="F132" s="311">
        <v>500</v>
      </c>
      <c r="G132" s="306">
        <f>57-(7)</f>
        <v>50</v>
      </c>
      <c r="H132" s="305"/>
      <c r="I132" s="305"/>
    </row>
    <row r="133" spans="1:9" x14ac:dyDescent="0.2">
      <c r="A133" s="310" t="s">
        <v>1362</v>
      </c>
      <c r="B133" s="310" t="s">
        <v>1365</v>
      </c>
      <c r="C133" s="309">
        <v>42058</v>
      </c>
      <c r="D133" s="308" t="s">
        <v>1653</v>
      </c>
      <c r="E133" s="307">
        <v>1</v>
      </c>
      <c r="F133" s="311">
        <v>400</v>
      </c>
      <c r="G133" s="303">
        <f>62-(12)</f>
        <v>50</v>
      </c>
      <c r="H133" s="305"/>
      <c r="I133" s="305"/>
    </row>
    <row r="134" spans="1:9" x14ac:dyDescent="0.2">
      <c r="A134" s="310" t="s">
        <v>1362</v>
      </c>
      <c r="B134" s="310" t="s">
        <v>1365</v>
      </c>
      <c r="C134" s="309">
        <v>42268</v>
      </c>
      <c r="D134" s="308" t="s">
        <v>1573</v>
      </c>
      <c r="E134" s="307">
        <v>1</v>
      </c>
      <c r="F134" s="311">
        <v>400</v>
      </c>
      <c r="G134" s="303">
        <f>62-(12)</f>
        <v>50</v>
      </c>
      <c r="H134" s="305"/>
      <c r="I134" s="305"/>
    </row>
    <row r="135" spans="1:9" x14ac:dyDescent="0.2">
      <c r="A135" s="310" t="s">
        <v>1362</v>
      </c>
      <c r="B135" s="310" t="s">
        <v>1365</v>
      </c>
      <c r="C135" s="309">
        <v>42592</v>
      </c>
      <c r="D135" s="308" t="s">
        <v>2840</v>
      </c>
      <c r="E135" s="307">
        <v>1</v>
      </c>
      <c r="F135" s="311">
        <v>400</v>
      </c>
      <c r="G135" s="303">
        <f>62-(12)</f>
        <v>50</v>
      </c>
      <c r="H135" s="305"/>
      <c r="I135" s="305"/>
    </row>
    <row r="136" spans="1:9" x14ac:dyDescent="0.2">
      <c r="A136" s="310" t="s">
        <v>1359</v>
      </c>
      <c r="B136" s="310" t="s">
        <v>1363</v>
      </c>
      <c r="C136" s="309">
        <v>42064</v>
      </c>
      <c r="D136" s="308" t="s">
        <v>1541</v>
      </c>
      <c r="E136" s="307">
        <v>1</v>
      </c>
      <c r="F136" s="311">
        <v>400</v>
      </c>
      <c r="G136" s="307">
        <v>50</v>
      </c>
      <c r="H136" s="305"/>
      <c r="I136" s="305"/>
    </row>
    <row r="137" spans="1:9" x14ac:dyDescent="0.2">
      <c r="A137" s="310" t="s">
        <v>1359</v>
      </c>
      <c r="B137" s="310" t="s">
        <v>1363</v>
      </c>
      <c r="C137" s="309">
        <v>42064</v>
      </c>
      <c r="D137" s="308" t="s">
        <v>1531</v>
      </c>
      <c r="E137" s="307">
        <v>1</v>
      </c>
      <c r="F137" s="311">
        <v>400</v>
      </c>
      <c r="G137" s="307">
        <v>50</v>
      </c>
      <c r="H137" s="305"/>
      <c r="I137" s="305"/>
    </row>
    <row r="138" spans="1:9" x14ac:dyDescent="0.2">
      <c r="A138" s="310" t="s">
        <v>1359</v>
      </c>
      <c r="B138" s="310" t="s">
        <v>1363</v>
      </c>
      <c r="C138" s="309">
        <v>42064</v>
      </c>
      <c r="D138" s="308" t="s">
        <v>1497</v>
      </c>
      <c r="E138" s="307">
        <v>1</v>
      </c>
      <c r="F138" s="311">
        <v>400</v>
      </c>
      <c r="G138" s="307">
        <v>50</v>
      </c>
      <c r="H138" s="305"/>
      <c r="I138" s="305"/>
    </row>
    <row r="139" spans="1:9" x14ac:dyDescent="0.2">
      <c r="A139" s="310" t="s">
        <v>1359</v>
      </c>
      <c r="B139" s="310" t="s">
        <v>1363</v>
      </c>
      <c r="C139" s="309">
        <v>42424</v>
      </c>
      <c r="D139" s="308" t="s">
        <v>2967</v>
      </c>
      <c r="E139" s="307">
        <v>1</v>
      </c>
      <c r="F139" s="311">
        <v>400</v>
      </c>
      <c r="G139" s="307">
        <v>50</v>
      </c>
      <c r="H139" s="305"/>
      <c r="I139" s="305"/>
    </row>
    <row r="140" spans="1:9" x14ac:dyDescent="0.2">
      <c r="A140" s="310" t="s">
        <v>1359</v>
      </c>
      <c r="B140" s="310" t="s">
        <v>1363</v>
      </c>
      <c r="C140" s="309">
        <v>42424</v>
      </c>
      <c r="D140" s="308" t="s">
        <v>2969</v>
      </c>
      <c r="E140" s="307">
        <v>1</v>
      </c>
      <c r="F140" s="311">
        <v>400</v>
      </c>
      <c r="G140" s="307">
        <v>50</v>
      </c>
      <c r="H140" s="305"/>
      <c r="I140" s="305"/>
    </row>
    <row r="141" spans="1:9" x14ac:dyDescent="0.2">
      <c r="A141" s="310" t="s">
        <v>1358</v>
      </c>
      <c r="B141" s="310" t="s">
        <v>1375</v>
      </c>
      <c r="C141" s="309">
        <v>42037</v>
      </c>
      <c r="D141" s="308" t="s">
        <v>1450</v>
      </c>
      <c r="E141" s="307">
        <v>1</v>
      </c>
      <c r="F141" s="311">
        <v>300</v>
      </c>
      <c r="G141" s="307">
        <v>50</v>
      </c>
      <c r="H141" s="305"/>
      <c r="I141" s="305"/>
    </row>
    <row r="142" spans="1:9" x14ac:dyDescent="0.2">
      <c r="A142" s="310" t="s">
        <v>1358</v>
      </c>
      <c r="B142" s="310" t="s">
        <v>1375</v>
      </c>
      <c r="C142" s="309">
        <v>42289</v>
      </c>
      <c r="D142" s="308" t="s">
        <v>1423</v>
      </c>
      <c r="E142" s="307">
        <v>1</v>
      </c>
      <c r="F142" s="311">
        <v>300</v>
      </c>
      <c r="G142" s="307">
        <v>50</v>
      </c>
      <c r="H142" s="305"/>
      <c r="I142" s="305"/>
    </row>
    <row r="143" spans="1:9" x14ac:dyDescent="0.2">
      <c r="A143" s="310" t="s">
        <v>1358</v>
      </c>
      <c r="B143" s="310" t="s">
        <v>1375</v>
      </c>
      <c r="C143" s="309">
        <v>42460</v>
      </c>
      <c r="D143" s="308" t="s">
        <v>3023</v>
      </c>
      <c r="E143" s="307">
        <v>1</v>
      </c>
      <c r="F143" s="311">
        <v>320</v>
      </c>
      <c r="G143" s="307">
        <v>50</v>
      </c>
      <c r="H143" s="305"/>
      <c r="I143" s="305"/>
    </row>
    <row r="144" spans="1:9" x14ac:dyDescent="0.2">
      <c r="A144" s="310" t="s">
        <v>1358</v>
      </c>
      <c r="B144" s="310" t="s">
        <v>1375</v>
      </c>
      <c r="C144" s="309">
        <v>42544</v>
      </c>
      <c r="D144" s="308" t="s">
        <v>2911</v>
      </c>
      <c r="E144" s="307">
        <v>1</v>
      </c>
      <c r="F144" s="311">
        <v>320</v>
      </c>
      <c r="G144" s="307">
        <v>50</v>
      </c>
      <c r="H144" s="305"/>
      <c r="I144" s="305"/>
    </row>
    <row r="145" spans="1:9" x14ac:dyDescent="0.2">
      <c r="A145" s="310" t="s">
        <v>1319</v>
      </c>
      <c r="B145" s="310" t="s">
        <v>1373</v>
      </c>
      <c r="C145" s="309">
        <v>42084</v>
      </c>
      <c r="D145" s="308" t="s">
        <v>1805</v>
      </c>
      <c r="E145" s="307">
        <v>1</v>
      </c>
      <c r="F145" s="311">
        <v>100</v>
      </c>
      <c r="G145" s="306">
        <f>58-(7)</f>
        <v>51</v>
      </c>
      <c r="H145" s="305"/>
      <c r="I145" s="305"/>
    </row>
    <row r="146" spans="1:9" x14ac:dyDescent="0.2">
      <c r="A146" s="310" t="s">
        <v>1313</v>
      </c>
      <c r="B146" s="310" t="s">
        <v>1373</v>
      </c>
      <c r="C146" s="309">
        <v>42105</v>
      </c>
      <c r="D146" s="308" t="s">
        <v>1747</v>
      </c>
      <c r="E146" s="307">
        <v>1</v>
      </c>
      <c r="F146" s="311">
        <v>200</v>
      </c>
      <c r="G146" s="306">
        <f>58-(7)</f>
        <v>51</v>
      </c>
      <c r="H146" s="305"/>
      <c r="I146" s="305"/>
    </row>
    <row r="147" spans="1:9" x14ac:dyDescent="0.2">
      <c r="A147" s="310" t="s">
        <v>1313</v>
      </c>
      <c r="B147" s="310" t="s">
        <v>1373</v>
      </c>
      <c r="C147" s="309">
        <v>42105</v>
      </c>
      <c r="D147" s="308" t="s">
        <v>1980</v>
      </c>
      <c r="E147" s="307">
        <v>1</v>
      </c>
      <c r="F147" s="311">
        <v>200</v>
      </c>
      <c r="G147" s="306">
        <f>58-(7)</f>
        <v>51</v>
      </c>
      <c r="H147" s="305"/>
      <c r="I147" s="305"/>
    </row>
    <row r="148" spans="1:9" x14ac:dyDescent="0.2">
      <c r="A148" s="310" t="s">
        <v>1313</v>
      </c>
      <c r="B148" s="310" t="s">
        <v>1361</v>
      </c>
      <c r="C148" s="309">
        <v>42177</v>
      </c>
      <c r="D148" s="308" t="s">
        <v>1518</v>
      </c>
      <c r="E148" s="307">
        <v>1</v>
      </c>
      <c r="F148" s="311">
        <v>200</v>
      </c>
      <c r="G148" s="303">
        <f>56-(5)</f>
        <v>51</v>
      </c>
      <c r="H148" s="305"/>
      <c r="I148" s="305"/>
    </row>
    <row r="149" spans="1:9" x14ac:dyDescent="0.2">
      <c r="A149" s="310" t="s">
        <v>1313</v>
      </c>
      <c r="B149" s="310" t="s">
        <v>1361</v>
      </c>
      <c r="C149" s="309">
        <v>42177</v>
      </c>
      <c r="D149" s="308" t="s">
        <v>1844</v>
      </c>
      <c r="E149" s="307">
        <v>1</v>
      </c>
      <c r="F149" s="311">
        <v>200</v>
      </c>
      <c r="G149" s="303">
        <f>56-(5)</f>
        <v>51</v>
      </c>
      <c r="H149" s="305"/>
      <c r="I149" s="305"/>
    </row>
    <row r="150" spans="1:9" x14ac:dyDescent="0.2">
      <c r="A150" s="310" t="s">
        <v>1313</v>
      </c>
      <c r="B150" s="310" t="s">
        <v>1361</v>
      </c>
      <c r="C150" s="309">
        <v>42636</v>
      </c>
      <c r="D150" s="308" t="s">
        <v>2219</v>
      </c>
      <c r="E150" s="307">
        <v>1</v>
      </c>
      <c r="F150" s="311">
        <v>210</v>
      </c>
      <c r="G150" s="303">
        <f>56-(5)</f>
        <v>51</v>
      </c>
      <c r="H150" s="305"/>
      <c r="I150" s="305"/>
    </row>
    <row r="151" spans="1:9" x14ac:dyDescent="0.2">
      <c r="A151" s="310" t="s">
        <v>1374</v>
      </c>
      <c r="B151" s="310" t="s">
        <v>1369</v>
      </c>
      <c r="C151" s="309">
        <v>42531</v>
      </c>
      <c r="D151" s="308" t="s">
        <v>2223</v>
      </c>
      <c r="E151" s="307">
        <v>1</v>
      </c>
      <c r="F151" s="311">
        <v>320</v>
      </c>
      <c r="G151" s="307">
        <v>51</v>
      </c>
      <c r="H151" s="305"/>
      <c r="I151" s="305"/>
    </row>
    <row r="152" spans="1:9" x14ac:dyDescent="0.2">
      <c r="A152" s="310" t="s">
        <v>1372</v>
      </c>
      <c r="B152" s="310" t="s">
        <v>1363</v>
      </c>
      <c r="C152" s="309">
        <v>42271</v>
      </c>
      <c r="D152" s="308" t="s">
        <v>1441</v>
      </c>
      <c r="E152" s="307">
        <v>1</v>
      </c>
      <c r="F152" s="311">
        <v>300</v>
      </c>
      <c r="G152" s="307">
        <v>51</v>
      </c>
      <c r="H152" s="305"/>
      <c r="I152" s="305"/>
    </row>
    <row r="153" spans="1:9" x14ac:dyDescent="0.2">
      <c r="A153" s="310" t="s">
        <v>1372</v>
      </c>
      <c r="B153" s="310" t="s">
        <v>1363</v>
      </c>
      <c r="C153" s="309">
        <v>42271</v>
      </c>
      <c r="D153" s="308" t="s">
        <v>1940</v>
      </c>
      <c r="E153" s="307">
        <v>1</v>
      </c>
      <c r="F153" s="311">
        <v>300</v>
      </c>
      <c r="G153" s="307">
        <v>51</v>
      </c>
      <c r="H153" s="305"/>
      <c r="I153" s="305"/>
    </row>
    <row r="154" spans="1:9" x14ac:dyDescent="0.2">
      <c r="A154" s="310" t="s">
        <v>1372</v>
      </c>
      <c r="B154" s="310" t="s">
        <v>1363</v>
      </c>
      <c r="C154" s="309">
        <v>42271</v>
      </c>
      <c r="D154" s="308" t="s">
        <v>1939</v>
      </c>
      <c r="E154" s="307">
        <v>1</v>
      </c>
      <c r="F154" s="311">
        <v>300</v>
      </c>
      <c r="G154" s="307">
        <v>51</v>
      </c>
      <c r="H154" s="305"/>
      <c r="I154" s="305"/>
    </row>
    <row r="155" spans="1:9" x14ac:dyDescent="0.2">
      <c r="A155" s="310" t="s">
        <v>1372</v>
      </c>
      <c r="B155" s="310" t="s">
        <v>1365</v>
      </c>
      <c r="C155" s="309">
        <v>42488</v>
      </c>
      <c r="D155" s="308" t="s">
        <v>2263</v>
      </c>
      <c r="E155" s="307">
        <v>1</v>
      </c>
      <c r="F155" s="311">
        <v>310</v>
      </c>
      <c r="G155" s="303">
        <f>63-(12)</f>
        <v>51</v>
      </c>
      <c r="H155" s="305"/>
      <c r="I155" s="305"/>
    </row>
    <row r="156" spans="1:9" x14ac:dyDescent="0.2">
      <c r="A156" s="310" t="s">
        <v>1372</v>
      </c>
      <c r="B156" s="310" t="s">
        <v>1363</v>
      </c>
      <c r="C156" s="309">
        <v>42685</v>
      </c>
      <c r="D156" s="308" t="s">
        <v>2289</v>
      </c>
      <c r="E156" s="307">
        <v>1</v>
      </c>
      <c r="F156" s="311">
        <v>310</v>
      </c>
      <c r="G156" s="307">
        <v>51</v>
      </c>
      <c r="H156" s="305"/>
      <c r="I156" s="305"/>
    </row>
    <row r="157" spans="1:9" x14ac:dyDescent="0.2">
      <c r="A157" s="310" t="s">
        <v>1370</v>
      </c>
      <c r="B157" s="310" t="s">
        <v>1361</v>
      </c>
      <c r="C157" s="309">
        <v>42036</v>
      </c>
      <c r="D157" s="308" t="s">
        <v>1917</v>
      </c>
      <c r="E157" s="307">
        <v>1</v>
      </c>
      <c r="F157" s="311">
        <v>500</v>
      </c>
      <c r="G157" s="303">
        <f>56-(5)</f>
        <v>51</v>
      </c>
      <c r="H157" s="305"/>
      <c r="I157" s="305"/>
    </row>
    <row r="158" spans="1:9" x14ac:dyDescent="0.2">
      <c r="A158" s="310" t="s">
        <v>1370</v>
      </c>
      <c r="B158" s="310" t="s">
        <v>1373</v>
      </c>
      <c r="C158" s="309">
        <v>42658</v>
      </c>
      <c r="D158" s="308" t="s">
        <v>2351</v>
      </c>
      <c r="E158" s="307">
        <v>1</v>
      </c>
      <c r="F158" s="311">
        <v>500</v>
      </c>
      <c r="G158" s="306">
        <f>58-(7)</f>
        <v>51</v>
      </c>
      <c r="H158" s="305"/>
      <c r="I158" s="305"/>
    </row>
    <row r="159" spans="1:9" x14ac:dyDescent="0.2">
      <c r="A159" s="310" t="s">
        <v>1362</v>
      </c>
      <c r="B159" s="310" t="s">
        <v>1365</v>
      </c>
      <c r="C159" s="309">
        <v>42592</v>
      </c>
      <c r="D159" s="308" t="s">
        <v>2841</v>
      </c>
      <c r="E159" s="307">
        <v>1</v>
      </c>
      <c r="F159" s="311">
        <v>400</v>
      </c>
      <c r="G159" s="303">
        <f>63-(12)</f>
        <v>51</v>
      </c>
      <c r="H159" s="305"/>
      <c r="I159" s="305"/>
    </row>
    <row r="160" spans="1:9" x14ac:dyDescent="0.2">
      <c r="A160" s="310" t="s">
        <v>1362</v>
      </c>
      <c r="B160" s="310" t="s">
        <v>1365</v>
      </c>
      <c r="C160" s="309">
        <v>42654</v>
      </c>
      <c r="D160" s="308" t="s">
        <v>2848</v>
      </c>
      <c r="E160" s="307">
        <v>1</v>
      </c>
      <c r="F160" s="311">
        <v>400</v>
      </c>
      <c r="G160" s="303">
        <f>63-(12)</f>
        <v>51</v>
      </c>
      <c r="H160" s="305"/>
      <c r="I160" s="305"/>
    </row>
    <row r="161" spans="1:9" x14ac:dyDescent="0.2">
      <c r="A161" s="310" t="s">
        <v>1359</v>
      </c>
      <c r="B161" s="310" t="s">
        <v>1363</v>
      </c>
      <c r="C161" s="309">
        <v>42064</v>
      </c>
      <c r="D161" s="308" t="s">
        <v>1515</v>
      </c>
      <c r="E161" s="307">
        <v>1</v>
      </c>
      <c r="F161" s="311">
        <v>400</v>
      </c>
      <c r="G161" s="307">
        <v>51</v>
      </c>
      <c r="H161" s="305"/>
      <c r="I161" s="305"/>
    </row>
    <row r="162" spans="1:9" x14ac:dyDescent="0.2">
      <c r="A162" s="310" t="s">
        <v>1359</v>
      </c>
      <c r="B162" s="310" t="s">
        <v>1363</v>
      </c>
      <c r="C162" s="309">
        <v>42064</v>
      </c>
      <c r="D162" s="308" t="s">
        <v>1500</v>
      </c>
      <c r="E162" s="307">
        <v>1</v>
      </c>
      <c r="F162" s="311">
        <v>400</v>
      </c>
      <c r="G162" s="307">
        <v>51</v>
      </c>
      <c r="H162" s="305"/>
      <c r="I162" s="305"/>
    </row>
    <row r="163" spans="1:9" x14ac:dyDescent="0.2">
      <c r="A163" s="310" t="s">
        <v>1359</v>
      </c>
      <c r="B163" s="310" t="s">
        <v>1363</v>
      </c>
      <c r="C163" s="309">
        <v>42424</v>
      </c>
      <c r="D163" s="308" t="s">
        <v>2957</v>
      </c>
      <c r="E163" s="307">
        <v>1</v>
      </c>
      <c r="F163" s="311">
        <v>400</v>
      </c>
      <c r="G163" s="307">
        <v>51</v>
      </c>
      <c r="H163" s="305"/>
      <c r="I163" s="305"/>
    </row>
    <row r="164" spans="1:9" x14ac:dyDescent="0.2">
      <c r="A164" s="310" t="s">
        <v>1358</v>
      </c>
      <c r="B164" s="310" t="s">
        <v>1375</v>
      </c>
      <c r="C164" s="309">
        <v>42289</v>
      </c>
      <c r="D164" s="308" t="s">
        <v>1441</v>
      </c>
      <c r="E164" s="307">
        <v>1</v>
      </c>
      <c r="F164" s="311">
        <v>300</v>
      </c>
      <c r="G164" s="307">
        <v>51</v>
      </c>
      <c r="H164" s="305"/>
      <c r="I164" s="305"/>
    </row>
    <row r="165" spans="1:9" x14ac:dyDescent="0.2">
      <c r="A165" s="310" t="s">
        <v>1358</v>
      </c>
      <c r="B165" s="310" t="s">
        <v>1375</v>
      </c>
      <c r="C165" s="309">
        <v>42544</v>
      </c>
      <c r="D165" s="308" t="s">
        <v>3049</v>
      </c>
      <c r="E165" s="307">
        <v>1</v>
      </c>
      <c r="F165" s="311">
        <v>320</v>
      </c>
      <c r="G165" s="307">
        <v>51</v>
      </c>
      <c r="H165" s="305"/>
      <c r="I165" s="305"/>
    </row>
    <row r="166" spans="1:9" x14ac:dyDescent="0.2">
      <c r="A166" s="310" t="s">
        <v>1319</v>
      </c>
      <c r="B166" s="310" t="s">
        <v>1373</v>
      </c>
      <c r="C166" s="309">
        <v>42415</v>
      </c>
      <c r="D166" s="308" t="s">
        <v>2069</v>
      </c>
      <c r="E166" s="307">
        <v>1</v>
      </c>
      <c r="F166" s="311">
        <v>120</v>
      </c>
      <c r="G166" s="306">
        <f>59-(7)</f>
        <v>52</v>
      </c>
      <c r="H166" s="305"/>
      <c r="I166" s="305"/>
    </row>
    <row r="167" spans="1:9" x14ac:dyDescent="0.2">
      <c r="A167" s="310" t="s">
        <v>1319</v>
      </c>
      <c r="B167" s="310" t="s">
        <v>1371</v>
      </c>
      <c r="C167" s="309">
        <v>42476</v>
      </c>
      <c r="D167" s="308" t="s">
        <v>2134</v>
      </c>
      <c r="E167" s="307">
        <v>1</v>
      </c>
      <c r="F167" s="311">
        <v>120</v>
      </c>
      <c r="G167" s="306">
        <f>48+(4)</f>
        <v>52</v>
      </c>
      <c r="H167" s="305"/>
      <c r="I167" s="305"/>
    </row>
    <row r="168" spans="1:9" x14ac:dyDescent="0.2">
      <c r="A168" s="310" t="s">
        <v>1313</v>
      </c>
      <c r="B168" s="310" t="s">
        <v>1373</v>
      </c>
      <c r="C168" s="309">
        <v>42105</v>
      </c>
      <c r="D168" s="308" t="s">
        <v>1508</v>
      </c>
      <c r="E168" s="307">
        <v>1</v>
      </c>
      <c r="F168" s="311">
        <v>200</v>
      </c>
      <c r="G168" s="306">
        <f>59-(7)</f>
        <v>52</v>
      </c>
      <c r="H168" s="305"/>
      <c r="I168" s="305"/>
    </row>
    <row r="169" spans="1:9" x14ac:dyDescent="0.2">
      <c r="A169" s="310" t="s">
        <v>1313</v>
      </c>
      <c r="B169" s="310" t="s">
        <v>1361</v>
      </c>
      <c r="C169" s="309">
        <v>42177</v>
      </c>
      <c r="D169" s="308" t="s">
        <v>1396</v>
      </c>
      <c r="E169" s="307">
        <v>1</v>
      </c>
      <c r="F169" s="311">
        <v>200</v>
      </c>
      <c r="G169" s="303">
        <f>57-(5)</f>
        <v>52</v>
      </c>
      <c r="H169" s="305"/>
      <c r="I169" s="305"/>
    </row>
    <row r="170" spans="1:9" x14ac:dyDescent="0.2">
      <c r="A170" s="310" t="s">
        <v>1313</v>
      </c>
      <c r="B170" s="310" t="s">
        <v>1361</v>
      </c>
      <c r="C170" s="309">
        <v>42636</v>
      </c>
      <c r="D170" s="308" t="s">
        <v>2207</v>
      </c>
      <c r="E170" s="307">
        <v>1</v>
      </c>
      <c r="F170" s="311">
        <v>210</v>
      </c>
      <c r="G170" s="303">
        <f>57-(5)</f>
        <v>52</v>
      </c>
      <c r="H170" s="305"/>
      <c r="I170" s="305"/>
    </row>
    <row r="171" spans="1:9" x14ac:dyDescent="0.2">
      <c r="A171" s="310" t="s">
        <v>1374</v>
      </c>
      <c r="B171" s="310" t="s">
        <v>1369</v>
      </c>
      <c r="C171" s="309">
        <v>42227</v>
      </c>
      <c r="D171" s="308" t="s">
        <v>1909</v>
      </c>
      <c r="E171" s="307">
        <v>1</v>
      </c>
      <c r="F171" s="311">
        <v>300</v>
      </c>
      <c r="G171" s="307">
        <v>52</v>
      </c>
      <c r="H171" s="305"/>
      <c r="I171" s="305"/>
    </row>
    <row r="172" spans="1:9" x14ac:dyDescent="0.2">
      <c r="A172" s="310" t="s">
        <v>1374</v>
      </c>
      <c r="B172" s="310" t="s">
        <v>1369</v>
      </c>
      <c r="C172" s="309">
        <v>42227</v>
      </c>
      <c r="D172" s="308" t="s">
        <v>1523</v>
      </c>
      <c r="E172" s="307">
        <v>1</v>
      </c>
      <c r="F172" s="311">
        <v>300</v>
      </c>
      <c r="G172" s="307">
        <v>52</v>
      </c>
      <c r="H172" s="305"/>
      <c r="I172" s="305"/>
    </row>
    <row r="173" spans="1:9" x14ac:dyDescent="0.2">
      <c r="A173" s="310" t="s">
        <v>1374</v>
      </c>
      <c r="B173" s="310" t="s">
        <v>1369</v>
      </c>
      <c r="C173" s="309">
        <v>42227</v>
      </c>
      <c r="D173" s="308" t="s">
        <v>1900</v>
      </c>
      <c r="E173" s="307">
        <v>1</v>
      </c>
      <c r="F173" s="311">
        <v>300</v>
      </c>
      <c r="G173" s="307">
        <v>52</v>
      </c>
      <c r="H173" s="305"/>
      <c r="I173" s="305"/>
    </row>
    <row r="174" spans="1:9" x14ac:dyDescent="0.2">
      <c r="A174" s="310" t="s">
        <v>1372</v>
      </c>
      <c r="B174" s="310" t="s">
        <v>1365</v>
      </c>
      <c r="C174" s="309">
        <v>42056</v>
      </c>
      <c r="D174" s="308" t="s">
        <v>1950</v>
      </c>
      <c r="E174" s="307">
        <v>1</v>
      </c>
      <c r="F174" s="311">
        <v>300</v>
      </c>
      <c r="G174" s="303">
        <f>64-(12)</f>
        <v>52</v>
      </c>
      <c r="H174" s="305"/>
      <c r="I174" s="305"/>
    </row>
    <row r="175" spans="1:9" x14ac:dyDescent="0.2">
      <c r="A175" s="310" t="s">
        <v>1372</v>
      </c>
      <c r="B175" s="310" t="s">
        <v>1363</v>
      </c>
      <c r="C175" s="309">
        <v>42271</v>
      </c>
      <c r="D175" s="308" t="s">
        <v>1702</v>
      </c>
      <c r="E175" s="307">
        <v>1</v>
      </c>
      <c r="F175" s="311">
        <v>300</v>
      </c>
      <c r="G175" s="307">
        <v>52</v>
      </c>
      <c r="H175" s="305"/>
      <c r="I175" s="305"/>
    </row>
    <row r="176" spans="1:9" x14ac:dyDescent="0.2">
      <c r="A176" s="310" t="s">
        <v>1370</v>
      </c>
      <c r="B176" s="310" t="s">
        <v>1361</v>
      </c>
      <c r="C176" s="309">
        <v>42036</v>
      </c>
      <c r="D176" s="308" t="s">
        <v>1919</v>
      </c>
      <c r="E176" s="307">
        <v>1</v>
      </c>
      <c r="F176" s="311">
        <v>500</v>
      </c>
      <c r="G176" s="303">
        <f>57-(5)</f>
        <v>52</v>
      </c>
      <c r="H176" s="305"/>
      <c r="I176" s="305"/>
    </row>
    <row r="177" spans="1:9" x14ac:dyDescent="0.2">
      <c r="A177" s="310" t="s">
        <v>1370</v>
      </c>
      <c r="B177" s="310" t="s">
        <v>1373</v>
      </c>
      <c r="C177" s="309">
        <v>42288</v>
      </c>
      <c r="D177" s="308" t="s">
        <v>1931</v>
      </c>
      <c r="E177" s="307">
        <v>1</v>
      </c>
      <c r="F177" s="311">
        <v>500</v>
      </c>
      <c r="G177" s="306">
        <f>59-(7)</f>
        <v>52</v>
      </c>
      <c r="H177" s="305"/>
      <c r="I177" s="305"/>
    </row>
    <row r="178" spans="1:9" x14ac:dyDescent="0.2">
      <c r="A178" s="310" t="s">
        <v>1370</v>
      </c>
      <c r="B178" s="310" t="s">
        <v>1361</v>
      </c>
      <c r="C178" s="309">
        <v>42447</v>
      </c>
      <c r="D178" s="308" t="s">
        <v>2383</v>
      </c>
      <c r="E178" s="307">
        <v>1</v>
      </c>
      <c r="F178" s="311">
        <v>500</v>
      </c>
      <c r="G178" s="303">
        <f>57-(5)</f>
        <v>52</v>
      </c>
      <c r="H178" s="305"/>
      <c r="I178" s="305"/>
    </row>
    <row r="179" spans="1:9" x14ac:dyDescent="0.2">
      <c r="A179" s="310" t="s">
        <v>1370</v>
      </c>
      <c r="B179" s="310" t="s">
        <v>1373</v>
      </c>
      <c r="C179" s="309">
        <v>42658</v>
      </c>
      <c r="D179" s="308" t="s">
        <v>2356</v>
      </c>
      <c r="E179" s="307">
        <v>1</v>
      </c>
      <c r="F179" s="311">
        <v>500</v>
      </c>
      <c r="G179" s="306">
        <f>59-(7)</f>
        <v>52</v>
      </c>
      <c r="H179" s="305"/>
      <c r="I179" s="305"/>
    </row>
    <row r="180" spans="1:9" x14ac:dyDescent="0.2">
      <c r="A180" s="310" t="s">
        <v>1370</v>
      </c>
      <c r="B180" s="310" t="s">
        <v>1373</v>
      </c>
      <c r="C180" s="309">
        <v>42658</v>
      </c>
      <c r="D180" s="308" t="s">
        <v>2354</v>
      </c>
      <c r="E180" s="307">
        <v>1</v>
      </c>
      <c r="F180" s="311">
        <v>500</v>
      </c>
      <c r="G180" s="306">
        <f>59-(7)</f>
        <v>52</v>
      </c>
      <c r="H180" s="305"/>
      <c r="I180" s="305"/>
    </row>
    <row r="181" spans="1:9" x14ac:dyDescent="0.2">
      <c r="A181" s="310" t="s">
        <v>1368</v>
      </c>
      <c r="B181" s="310" t="s">
        <v>1371</v>
      </c>
      <c r="C181" s="309">
        <v>42412</v>
      </c>
      <c r="D181" s="308" t="s">
        <v>2415</v>
      </c>
      <c r="E181" s="307">
        <v>1</v>
      </c>
      <c r="F181" s="311">
        <v>200</v>
      </c>
      <c r="G181" s="306">
        <f>48+(4)</f>
        <v>52</v>
      </c>
      <c r="H181" s="305"/>
      <c r="I181" s="305"/>
    </row>
    <row r="182" spans="1:9" x14ac:dyDescent="0.2">
      <c r="A182" s="310" t="s">
        <v>1364</v>
      </c>
      <c r="B182" s="310" t="s">
        <v>1371</v>
      </c>
      <c r="C182" s="309">
        <v>42430</v>
      </c>
      <c r="D182" s="308" t="s">
        <v>2734</v>
      </c>
      <c r="E182" s="307">
        <v>1</v>
      </c>
      <c r="F182" s="311">
        <v>650</v>
      </c>
      <c r="G182" s="306">
        <f>48+(4)</f>
        <v>52</v>
      </c>
      <c r="H182" s="305"/>
      <c r="I182" s="305"/>
    </row>
    <row r="183" spans="1:9" x14ac:dyDescent="0.2">
      <c r="A183" s="310" t="s">
        <v>1362</v>
      </c>
      <c r="B183" s="310" t="s">
        <v>1365</v>
      </c>
      <c r="C183" s="309">
        <v>42058</v>
      </c>
      <c r="D183" s="308" t="s">
        <v>1532</v>
      </c>
      <c r="E183" s="307">
        <v>1</v>
      </c>
      <c r="F183" s="311">
        <v>400</v>
      </c>
      <c r="G183" s="303">
        <f t="shared" ref="G183:G189" si="2">64-(12)</f>
        <v>52</v>
      </c>
      <c r="H183" s="305"/>
      <c r="I183" s="305"/>
    </row>
    <row r="184" spans="1:9" x14ac:dyDescent="0.2">
      <c r="A184" s="310" t="s">
        <v>1362</v>
      </c>
      <c r="B184" s="310" t="s">
        <v>1365</v>
      </c>
      <c r="C184" s="309">
        <v>42058</v>
      </c>
      <c r="D184" s="308" t="s">
        <v>1641</v>
      </c>
      <c r="E184" s="307">
        <v>1</v>
      </c>
      <c r="F184" s="311">
        <v>400</v>
      </c>
      <c r="G184" s="303">
        <f t="shared" si="2"/>
        <v>52</v>
      </c>
      <c r="H184" s="305"/>
      <c r="I184" s="305"/>
    </row>
    <row r="185" spans="1:9" x14ac:dyDescent="0.2">
      <c r="A185" s="310" t="s">
        <v>1362</v>
      </c>
      <c r="B185" s="310" t="s">
        <v>1365</v>
      </c>
      <c r="C185" s="309">
        <v>42058</v>
      </c>
      <c r="D185" s="308" t="s">
        <v>1618</v>
      </c>
      <c r="E185" s="307">
        <v>1</v>
      </c>
      <c r="F185" s="311">
        <v>400</v>
      </c>
      <c r="G185" s="303">
        <f t="shared" si="2"/>
        <v>52</v>
      </c>
      <c r="H185" s="305"/>
      <c r="I185" s="305"/>
    </row>
    <row r="186" spans="1:9" x14ac:dyDescent="0.2">
      <c r="A186" s="310" t="s">
        <v>1362</v>
      </c>
      <c r="B186" s="310" t="s">
        <v>1365</v>
      </c>
      <c r="C186" s="309">
        <v>42058</v>
      </c>
      <c r="D186" s="308" t="s">
        <v>1548</v>
      </c>
      <c r="E186" s="307">
        <v>1</v>
      </c>
      <c r="F186" s="311">
        <v>400</v>
      </c>
      <c r="G186" s="303">
        <f t="shared" si="2"/>
        <v>52</v>
      </c>
      <c r="H186" s="305"/>
      <c r="I186" s="305"/>
    </row>
    <row r="187" spans="1:9" x14ac:dyDescent="0.2">
      <c r="A187" s="310" t="s">
        <v>1362</v>
      </c>
      <c r="B187" s="310" t="s">
        <v>1365</v>
      </c>
      <c r="C187" s="309">
        <v>42268</v>
      </c>
      <c r="D187" s="308" t="s">
        <v>1571</v>
      </c>
      <c r="E187" s="307">
        <v>1</v>
      </c>
      <c r="F187" s="311">
        <v>400</v>
      </c>
      <c r="G187" s="303">
        <f t="shared" si="2"/>
        <v>52</v>
      </c>
      <c r="H187" s="305"/>
      <c r="I187" s="305"/>
    </row>
    <row r="188" spans="1:9" x14ac:dyDescent="0.2">
      <c r="A188" s="310" t="s">
        <v>1362</v>
      </c>
      <c r="B188" s="310" t="s">
        <v>1365</v>
      </c>
      <c r="C188" s="309">
        <v>42654</v>
      </c>
      <c r="D188" s="308" t="s">
        <v>2845</v>
      </c>
      <c r="E188" s="307">
        <v>1</v>
      </c>
      <c r="F188" s="311">
        <v>400</v>
      </c>
      <c r="G188" s="303">
        <f t="shared" si="2"/>
        <v>52</v>
      </c>
      <c r="H188" s="305"/>
      <c r="I188" s="305"/>
    </row>
    <row r="189" spans="1:9" x14ac:dyDescent="0.2">
      <c r="A189" s="310" t="s">
        <v>1362</v>
      </c>
      <c r="B189" s="310" t="s">
        <v>1365</v>
      </c>
      <c r="C189" s="309">
        <v>42654</v>
      </c>
      <c r="D189" s="308" t="s">
        <v>2867</v>
      </c>
      <c r="E189" s="307">
        <v>1</v>
      </c>
      <c r="F189" s="311">
        <v>400</v>
      </c>
      <c r="G189" s="303">
        <f t="shared" si="2"/>
        <v>52</v>
      </c>
      <c r="H189" s="305"/>
      <c r="I189" s="305"/>
    </row>
    <row r="190" spans="1:9" x14ac:dyDescent="0.2">
      <c r="A190" s="310" t="s">
        <v>1359</v>
      </c>
      <c r="B190" s="310" t="s">
        <v>1363</v>
      </c>
      <c r="C190" s="309">
        <v>42064</v>
      </c>
      <c r="D190" s="308" t="s">
        <v>1536</v>
      </c>
      <c r="E190" s="307">
        <v>1</v>
      </c>
      <c r="F190" s="311">
        <v>400</v>
      </c>
      <c r="G190" s="307">
        <v>52</v>
      </c>
      <c r="H190" s="305"/>
      <c r="I190" s="305"/>
    </row>
    <row r="191" spans="1:9" x14ac:dyDescent="0.2">
      <c r="A191" s="310" t="s">
        <v>1358</v>
      </c>
      <c r="B191" s="310" t="s">
        <v>1375</v>
      </c>
      <c r="C191" s="309">
        <v>42289</v>
      </c>
      <c r="D191" s="308" t="s">
        <v>1420</v>
      </c>
      <c r="E191" s="307">
        <v>1</v>
      </c>
      <c r="F191" s="311">
        <v>300</v>
      </c>
      <c r="G191" s="307">
        <v>52</v>
      </c>
      <c r="H191" s="305"/>
      <c r="I191" s="305"/>
    </row>
    <row r="192" spans="1:9" x14ac:dyDescent="0.2">
      <c r="A192" s="310" t="s">
        <v>1358</v>
      </c>
      <c r="B192" s="310" t="s">
        <v>1375</v>
      </c>
      <c r="C192" s="309">
        <v>42460</v>
      </c>
      <c r="D192" s="308" t="s">
        <v>3032</v>
      </c>
      <c r="E192" s="307">
        <v>1</v>
      </c>
      <c r="F192" s="311">
        <v>320</v>
      </c>
      <c r="G192" s="307">
        <v>52</v>
      </c>
      <c r="H192" s="305"/>
      <c r="I192" s="305"/>
    </row>
    <row r="193" spans="1:9" x14ac:dyDescent="0.2">
      <c r="A193" s="310" t="s">
        <v>1358</v>
      </c>
      <c r="B193" s="310" t="s">
        <v>1375</v>
      </c>
      <c r="C193" s="309">
        <v>42648</v>
      </c>
      <c r="D193" s="308" t="s">
        <v>3060</v>
      </c>
      <c r="E193" s="307">
        <v>1</v>
      </c>
      <c r="F193" s="311">
        <v>320</v>
      </c>
      <c r="G193" s="307">
        <v>52</v>
      </c>
      <c r="H193" s="305"/>
      <c r="I193" s="305"/>
    </row>
    <row r="194" spans="1:9" x14ac:dyDescent="0.2">
      <c r="A194" s="310" t="s">
        <v>1319</v>
      </c>
      <c r="B194" s="310" t="s">
        <v>1373</v>
      </c>
      <c r="C194" s="309">
        <v>42415</v>
      </c>
      <c r="D194" s="308" t="s">
        <v>2053</v>
      </c>
      <c r="E194" s="307">
        <v>1</v>
      </c>
      <c r="F194" s="311">
        <v>120</v>
      </c>
      <c r="G194" s="306">
        <f>60-(7)</f>
        <v>53</v>
      </c>
      <c r="H194" s="305"/>
      <c r="I194" s="305"/>
    </row>
    <row r="195" spans="1:9" x14ac:dyDescent="0.2">
      <c r="A195" s="310" t="s">
        <v>1319</v>
      </c>
      <c r="B195" s="310" t="s">
        <v>1371</v>
      </c>
      <c r="C195" s="309">
        <v>42476</v>
      </c>
      <c r="D195" s="308" t="s">
        <v>2093</v>
      </c>
      <c r="E195" s="307">
        <v>1</v>
      </c>
      <c r="F195" s="311">
        <v>120</v>
      </c>
      <c r="G195" s="306">
        <f>49+(4)</f>
        <v>53</v>
      </c>
      <c r="H195" s="305"/>
      <c r="I195" s="305"/>
    </row>
    <row r="196" spans="1:9" x14ac:dyDescent="0.2">
      <c r="A196" s="310" t="s">
        <v>1313</v>
      </c>
      <c r="B196" s="310" t="s">
        <v>1361</v>
      </c>
      <c r="C196" s="309">
        <v>42177</v>
      </c>
      <c r="D196" s="308" t="s">
        <v>1488</v>
      </c>
      <c r="E196" s="307">
        <v>1</v>
      </c>
      <c r="F196" s="311">
        <v>200</v>
      </c>
      <c r="G196" s="303">
        <f>58-(5)</f>
        <v>53</v>
      </c>
      <c r="H196" s="305"/>
      <c r="I196" s="305"/>
    </row>
    <row r="197" spans="1:9" x14ac:dyDescent="0.2">
      <c r="A197" s="310" t="s">
        <v>1370</v>
      </c>
      <c r="B197" s="310" t="s">
        <v>1361</v>
      </c>
      <c r="C197" s="309">
        <v>42036</v>
      </c>
      <c r="D197" s="308" t="s">
        <v>1545</v>
      </c>
      <c r="E197" s="307">
        <v>1</v>
      </c>
      <c r="F197" s="311">
        <v>500</v>
      </c>
      <c r="G197" s="303">
        <f>58-(5)</f>
        <v>53</v>
      </c>
      <c r="H197" s="305"/>
      <c r="I197" s="305"/>
    </row>
    <row r="198" spans="1:9" x14ac:dyDescent="0.2">
      <c r="A198" s="310" t="s">
        <v>1370</v>
      </c>
      <c r="B198" s="310" t="s">
        <v>1361</v>
      </c>
      <c r="C198" s="309">
        <v>42036</v>
      </c>
      <c r="D198" s="308" t="s">
        <v>1719</v>
      </c>
      <c r="E198" s="307">
        <v>1</v>
      </c>
      <c r="F198" s="311">
        <v>500</v>
      </c>
      <c r="G198" s="303">
        <f>58-(5)</f>
        <v>53</v>
      </c>
      <c r="H198" s="305"/>
      <c r="I198" s="305"/>
    </row>
    <row r="199" spans="1:9" x14ac:dyDescent="0.2">
      <c r="A199" s="310" t="s">
        <v>1370</v>
      </c>
      <c r="B199" s="310" t="s">
        <v>1373</v>
      </c>
      <c r="C199" s="309">
        <v>42288</v>
      </c>
      <c r="D199" s="308" t="s">
        <v>1932</v>
      </c>
      <c r="E199" s="307">
        <v>1</v>
      </c>
      <c r="F199" s="311">
        <v>500</v>
      </c>
      <c r="G199" s="306">
        <f>60-(7)</f>
        <v>53</v>
      </c>
      <c r="H199" s="305"/>
      <c r="I199" s="305"/>
    </row>
    <row r="200" spans="1:9" x14ac:dyDescent="0.2">
      <c r="A200" s="310" t="s">
        <v>1370</v>
      </c>
      <c r="B200" s="310" t="s">
        <v>1373</v>
      </c>
      <c r="C200" s="309">
        <v>42658</v>
      </c>
      <c r="D200" s="308" t="s">
        <v>2344</v>
      </c>
      <c r="E200" s="307">
        <v>1</v>
      </c>
      <c r="F200" s="311">
        <v>500</v>
      </c>
      <c r="G200" s="306">
        <f>60-(7)</f>
        <v>53</v>
      </c>
      <c r="H200" s="305"/>
      <c r="I200" s="305"/>
    </row>
    <row r="201" spans="1:9" x14ac:dyDescent="0.2">
      <c r="A201" s="310" t="s">
        <v>1370</v>
      </c>
      <c r="B201" s="310" t="s">
        <v>1373</v>
      </c>
      <c r="C201" s="309">
        <v>42658</v>
      </c>
      <c r="D201" s="308" t="s">
        <v>2369</v>
      </c>
      <c r="E201" s="307">
        <v>1</v>
      </c>
      <c r="F201" s="311">
        <v>500</v>
      </c>
      <c r="G201" s="306">
        <f>60-(7)</f>
        <v>53</v>
      </c>
      <c r="H201" s="305"/>
      <c r="I201" s="305"/>
    </row>
    <row r="202" spans="1:9" x14ac:dyDescent="0.2">
      <c r="A202" s="310" t="s">
        <v>1370</v>
      </c>
      <c r="B202" s="310" t="s">
        <v>1373</v>
      </c>
      <c r="C202" s="309">
        <v>42658</v>
      </c>
      <c r="D202" s="308" t="s">
        <v>2355</v>
      </c>
      <c r="E202" s="307">
        <v>1</v>
      </c>
      <c r="F202" s="311">
        <v>500</v>
      </c>
      <c r="G202" s="306">
        <f>60-(7)</f>
        <v>53</v>
      </c>
      <c r="H202" s="305"/>
      <c r="I202" s="305"/>
    </row>
    <row r="203" spans="1:9" x14ac:dyDescent="0.2">
      <c r="A203" s="310" t="s">
        <v>1368</v>
      </c>
      <c r="B203" s="310" t="s">
        <v>1371</v>
      </c>
      <c r="C203" s="309">
        <v>42412</v>
      </c>
      <c r="D203" s="308" t="s">
        <v>2440</v>
      </c>
      <c r="E203" s="307">
        <v>1</v>
      </c>
      <c r="F203" s="311">
        <v>200</v>
      </c>
      <c r="G203" s="306">
        <f>49+(4)</f>
        <v>53</v>
      </c>
      <c r="H203" s="305"/>
      <c r="I203" s="305"/>
    </row>
    <row r="204" spans="1:9" x14ac:dyDescent="0.2">
      <c r="A204" s="310" t="s">
        <v>1368</v>
      </c>
      <c r="B204" s="310" t="s">
        <v>1367</v>
      </c>
      <c r="C204" s="309">
        <v>42453</v>
      </c>
      <c r="D204" s="308" t="s">
        <v>2473</v>
      </c>
      <c r="E204" s="307">
        <v>1</v>
      </c>
      <c r="F204" s="311">
        <v>200</v>
      </c>
      <c r="G204" s="306">
        <v>53</v>
      </c>
      <c r="H204" s="305"/>
      <c r="I204" s="305"/>
    </row>
    <row r="205" spans="1:9" x14ac:dyDescent="0.2">
      <c r="A205" s="310" t="s">
        <v>1368</v>
      </c>
      <c r="B205" s="310" t="s">
        <v>1367</v>
      </c>
      <c r="C205" s="309">
        <v>42545</v>
      </c>
      <c r="D205" s="308" t="s">
        <v>2576</v>
      </c>
      <c r="E205" s="307">
        <v>1</v>
      </c>
      <c r="F205" s="311">
        <v>200</v>
      </c>
      <c r="G205" s="306">
        <v>53</v>
      </c>
      <c r="H205" s="305"/>
      <c r="I205" s="305"/>
    </row>
    <row r="206" spans="1:9" x14ac:dyDescent="0.2">
      <c r="A206" s="310" t="s">
        <v>1368</v>
      </c>
      <c r="B206" s="310" t="s">
        <v>1367</v>
      </c>
      <c r="C206" s="309">
        <v>42563</v>
      </c>
      <c r="D206" s="308" t="s">
        <v>2608</v>
      </c>
      <c r="E206" s="307">
        <v>1</v>
      </c>
      <c r="F206" s="311">
        <v>200</v>
      </c>
      <c r="G206" s="306">
        <v>53</v>
      </c>
      <c r="H206" s="305"/>
      <c r="I206" s="305"/>
    </row>
    <row r="207" spans="1:9" x14ac:dyDescent="0.2">
      <c r="A207" s="310" t="s">
        <v>1368</v>
      </c>
      <c r="B207" s="310" t="s">
        <v>1367</v>
      </c>
      <c r="C207" s="309">
        <v>42563</v>
      </c>
      <c r="D207" s="308" t="s">
        <v>2603</v>
      </c>
      <c r="E207" s="307">
        <v>1</v>
      </c>
      <c r="F207" s="311">
        <v>200</v>
      </c>
      <c r="G207" s="306">
        <v>53</v>
      </c>
      <c r="H207" s="305"/>
      <c r="I207" s="305"/>
    </row>
    <row r="208" spans="1:9" x14ac:dyDescent="0.2">
      <c r="A208" s="310" t="s">
        <v>1364</v>
      </c>
      <c r="B208" s="310" t="s">
        <v>1367</v>
      </c>
      <c r="C208" s="309">
        <v>42638</v>
      </c>
      <c r="D208" s="308" t="s">
        <v>2784</v>
      </c>
      <c r="E208" s="307">
        <v>1</v>
      </c>
      <c r="F208" s="311">
        <v>650</v>
      </c>
      <c r="G208" s="306">
        <v>53</v>
      </c>
      <c r="H208" s="305"/>
      <c r="I208" s="305"/>
    </row>
    <row r="209" spans="1:9" x14ac:dyDescent="0.2">
      <c r="A209" s="310" t="s">
        <v>1364</v>
      </c>
      <c r="B209" s="310" t="s">
        <v>1367</v>
      </c>
      <c r="C209" s="309">
        <v>42638</v>
      </c>
      <c r="D209" s="308" t="s">
        <v>2794</v>
      </c>
      <c r="E209" s="307">
        <v>1</v>
      </c>
      <c r="F209" s="311">
        <v>650</v>
      </c>
      <c r="G209" s="306">
        <v>53</v>
      </c>
      <c r="H209" s="305"/>
      <c r="I209" s="305"/>
    </row>
    <row r="210" spans="1:9" x14ac:dyDescent="0.2">
      <c r="A210" s="310" t="s">
        <v>1362</v>
      </c>
      <c r="B210" s="310" t="s">
        <v>1365</v>
      </c>
      <c r="C210" s="309">
        <v>42058</v>
      </c>
      <c r="D210" s="308" t="s">
        <v>1642</v>
      </c>
      <c r="E210" s="307">
        <v>1</v>
      </c>
      <c r="F210" s="311">
        <v>400</v>
      </c>
      <c r="G210" s="303">
        <f>65-(12)</f>
        <v>53</v>
      </c>
      <c r="H210" s="305"/>
      <c r="I210" s="305"/>
    </row>
    <row r="211" spans="1:9" x14ac:dyDescent="0.2">
      <c r="A211" s="310" t="s">
        <v>1362</v>
      </c>
      <c r="B211" s="310" t="s">
        <v>1365</v>
      </c>
      <c r="C211" s="309">
        <v>42058</v>
      </c>
      <c r="D211" s="308" t="s">
        <v>1411</v>
      </c>
      <c r="E211" s="307">
        <v>1</v>
      </c>
      <c r="F211" s="311">
        <v>400</v>
      </c>
      <c r="G211" s="303">
        <f>65-(12)</f>
        <v>53</v>
      </c>
      <c r="H211" s="305"/>
      <c r="I211" s="305"/>
    </row>
    <row r="212" spans="1:9" x14ac:dyDescent="0.2">
      <c r="A212" s="310" t="s">
        <v>1362</v>
      </c>
      <c r="B212" s="310" t="s">
        <v>1365</v>
      </c>
      <c r="C212" s="309">
        <v>42058</v>
      </c>
      <c r="D212" s="308" t="s">
        <v>1625</v>
      </c>
      <c r="E212" s="307">
        <v>1</v>
      </c>
      <c r="F212" s="311">
        <v>400</v>
      </c>
      <c r="G212" s="303">
        <f>65-(12)</f>
        <v>53</v>
      </c>
      <c r="H212" s="305"/>
      <c r="I212" s="305"/>
    </row>
    <row r="213" spans="1:9" x14ac:dyDescent="0.2">
      <c r="A213" s="310" t="s">
        <v>1362</v>
      </c>
      <c r="B213" s="310" t="s">
        <v>1365</v>
      </c>
      <c r="C213" s="309">
        <v>42058</v>
      </c>
      <c r="D213" s="308" t="s">
        <v>1619</v>
      </c>
      <c r="E213" s="307">
        <v>1</v>
      </c>
      <c r="F213" s="311">
        <v>400</v>
      </c>
      <c r="G213" s="303">
        <f>65-(12)</f>
        <v>53</v>
      </c>
      <c r="H213" s="305"/>
      <c r="I213" s="305"/>
    </row>
    <row r="214" spans="1:9" x14ac:dyDescent="0.2">
      <c r="A214" s="310" t="s">
        <v>1362</v>
      </c>
      <c r="B214" s="310" t="s">
        <v>1365</v>
      </c>
      <c r="C214" s="309">
        <v>42127</v>
      </c>
      <c r="D214" s="308" t="s">
        <v>1587</v>
      </c>
      <c r="E214" s="307">
        <v>1</v>
      </c>
      <c r="F214" s="311">
        <v>400</v>
      </c>
      <c r="G214" s="303">
        <f>65-(12)</f>
        <v>53</v>
      </c>
      <c r="H214" s="305"/>
      <c r="I214" s="305"/>
    </row>
    <row r="215" spans="1:9" x14ac:dyDescent="0.2">
      <c r="A215" s="310" t="s">
        <v>1359</v>
      </c>
      <c r="B215" s="310" t="s">
        <v>1363</v>
      </c>
      <c r="C215" s="309">
        <v>42125</v>
      </c>
      <c r="D215" s="308" t="s">
        <v>1471</v>
      </c>
      <c r="E215" s="307">
        <v>1</v>
      </c>
      <c r="F215" s="311">
        <v>400</v>
      </c>
      <c r="G215" s="307">
        <v>53</v>
      </c>
      <c r="H215" s="305"/>
      <c r="I215" s="305"/>
    </row>
    <row r="216" spans="1:9" x14ac:dyDescent="0.2">
      <c r="A216" s="310" t="s">
        <v>1359</v>
      </c>
      <c r="B216" s="310" t="s">
        <v>1363</v>
      </c>
      <c r="C216" s="309">
        <v>42424</v>
      </c>
      <c r="D216" s="308" t="s">
        <v>2986</v>
      </c>
      <c r="E216" s="307">
        <v>1</v>
      </c>
      <c r="F216" s="311">
        <v>400</v>
      </c>
      <c r="G216" s="307">
        <v>53</v>
      </c>
      <c r="H216" s="305"/>
      <c r="I216" s="305"/>
    </row>
    <row r="217" spans="1:9" x14ac:dyDescent="0.2">
      <c r="A217" s="310" t="s">
        <v>1359</v>
      </c>
      <c r="B217" s="310" t="s">
        <v>1363</v>
      </c>
      <c r="C217" s="309">
        <v>42424</v>
      </c>
      <c r="D217" s="308" t="s">
        <v>2874</v>
      </c>
      <c r="E217" s="307">
        <v>1</v>
      </c>
      <c r="F217" s="311">
        <v>400</v>
      </c>
      <c r="G217" s="307">
        <v>53</v>
      </c>
      <c r="H217" s="305"/>
      <c r="I217" s="305"/>
    </row>
    <row r="218" spans="1:9" x14ac:dyDescent="0.2">
      <c r="A218" s="310" t="s">
        <v>1359</v>
      </c>
      <c r="B218" s="310" t="s">
        <v>1363</v>
      </c>
      <c r="C218" s="309">
        <v>42623</v>
      </c>
      <c r="D218" s="308" t="s">
        <v>2998</v>
      </c>
      <c r="E218" s="307">
        <v>1</v>
      </c>
      <c r="F218" s="311">
        <v>400</v>
      </c>
      <c r="G218" s="307">
        <v>53</v>
      </c>
      <c r="H218" s="305"/>
      <c r="I218" s="305"/>
    </row>
    <row r="219" spans="1:9" x14ac:dyDescent="0.2">
      <c r="A219" s="310" t="s">
        <v>1358</v>
      </c>
      <c r="B219" s="310" t="s">
        <v>1375</v>
      </c>
      <c r="C219" s="309">
        <v>42289</v>
      </c>
      <c r="D219" s="308" t="s">
        <v>1411</v>
      </c>
      <c r="E219" s="307">
        <v>1</v>
      </c>
      <c r="F219" s="311">
        <v>300</v>
      </c>
      <c r="G219" s="307">
        <v>53</v>
      </c>
      <c r="H219" s="305"/>
      <c r="I219" s="305"/>
    </row>
    <row r="220" spans="1:9" x14ac:dyDescent="0.2">
      <c r="A220" s="310" t="s">
        <v>1319</v>
      </c>
      <c r="B220" s="310" t="s">
        <v>1361</v>
      </c>
      <c r="C220" s="309">
        <v>42019</v>
      </c>
      <c r="D220" s="308" t="s">
        <v>1632</v>
      </c>
      <c r="E220" s="307">
        <v>1</v>
      </c>
      <c r="F220" s="311">
        <v>100</v>
      </c>
      <c r="G220" s="303">
        <f>59-(5)</f>
        <v>54</v>
      </c>
      <c r="H220" s="305"/>
      <c r="I220" s="305"/>
    </row>
    <row r="221" spans="1:9" x14ac:dyDescent="0.2">
      <c r="A221" s="310" t="s">
        <v>1319</v>
      </c>
      <c r="B221" s="310" t="s">
        <v>1371</v>
      </c>
      <c r="C221" s="309">
        <v>42258</v>
      </c>
      <c r="D221" s="308" t="s">
        <v>1522</v>
      </c>
      <c r="E221" s="307">
        <v>1</v>
      </c>
      <c r="F221" s="311">
        <v>100</v>
      </c>
      <c r="G221" s="306">
        <f>50+(4)</f>
        <v>54</v>
      </c>
      <c r="H221" s="305"/>
      <c r="I221" s="305"/>
    </row>
    <row r="222" spans="1:9" x14ac:dyDescent="0.2">
      <c r="A222" s="310" t="s">
        <v>1319</v>
      </c>
      <c r="B222" s="310" t="s">
        <v>1373</v>
      </c>
      <c r="C222" s="309">
        <v>42415</v>
      </c>
      <c r="D222" s="308" t="s">
        <v>2052</v>
      </c>
      <c r="E222" s="307">
        <v>1</v>
      </c>
      <c r="F222" s="311">
        <v>120</v>
      </c>
      <c r="G222" s="306">
        <f>61-(7)</f>
        <v>54</v>
      </c>
      <c r="H222" s="305"/>
      <c r="I222" s="305"/>
    </row>
    <row r="223" spans="1:9" x14ac:dyDescent="0.2">
      <c r="A223" s="310" t="s">
        <v>1319</v>
      </c>
      <c r="B223" s="310" t="s">
        <v>1367</v>
      </c>
      <c r="C223" s="309">
        <v>42666</v>
      </c>
      <c r="D223" s="308" t="s">
        <v>2152</v>
      </c>
      <c r="E223" s="307">
        <v>1</v>
      </c>
      <c r="F223" s="311">
        <v>120</v>
      </c>
      <c r="G223" s="306">
        <v>54</v>
      </c>
      <c r="H223" s="305"/>
      <c r="I223" s="305"/>
    </row>
    <row r="224" spans="1:9" x14ac:dyDescent="0.2">
      <c r="A224" s="310" t="s">
        <v>1313</v>
      </c>
      <c r="B224" s="310" t="s">
        <v>1373</v>
      </c>
      <c r="C224" s="309">
        <v>42105</v>
      </c>
      <c r="D224" s="308" t="s">
        <v>1863</v>
      </c>
      <c r="E224" s="307">
        <v>1</v>
      </c>
      <c r="F224" s="311">
        <v>200</v>
      </c>
      <c r="G224" s="306">
        <f>61-(7)</f>
        <v>54</v>
      </c>
      <c r="H224" s="305"/>
      <c r="I224" s="305"/>
    </row>
    <row r="225" spans="1:9" x14ac:dyDescent="0.2">
      <c r="A225" s="310" t="s">
        <v>1313</v>
      </c>
      <c r="B225" s="310" t="s">
        <v>1361</v>
      </c>
      <c r="C225" s="309">
        <v>42177</v>
      </c>
      <c r="D225" s="308" t="s">
        <v>1663</v>
      </c>
      <c r="E225" s="307">
        <v>1</v>
      </c>
      <c r="F225" s="311">
        <v>200</v>
      </c>
      <c r="G225" s="303">
        <f>59-(5)</f>
        <v>54</v>
      </c>
      <c r="H225" s="305"/>
      <c r="I225" s="305"/>
    </row>
    <row r="226" spans="1:9" x14ac:dyDescent="0.2">
      <c r="A226" s="310" t="s">
        <v>1313</v>
      </c>
      <c r="B226" s="310" t="s">
        <v>1373</v>
      </c>
      <c r="C226" s="309">
        <v>42384</v>
      </c>
      <c r="D226" s="308" t="s">
        <v>2175</v>
      </c>
      <c r="E226" s="307">
        <v>1</v>
      </c>
      <c r="F226" s="311">
        <v>210</v>
      </c>
      <c r="G226" s="306">
        <f>61-(7)</f>
        <v>54</v>
      </c>
      <c r="H226" s="305"/>
      <c r="I226" s="305"/>
    </row>
    <row r="227" spans="1:9" x14ac:dyDescent="0.2">
      <c r="A227" s="310" t="s">
        <v>1313</v>
      </c>
      <c r="B227" s="310" t="s">
        <v>1361</v>
      </c>
      <c r="C227" s="309">
        <v>42636</v>
      </c>
      <c r="D227" s="308" t="s">
        <v>2195</v>
      </c>
      <c r="E227" s="307">
        <v>1</v>
      </c>
      <c r="F227" s="311">
        <v>210</v>
      </c>
      <c r="G227" s="303">
        <f>59-(5)</f>
        <v>54</v>
      </c>
      <c r="H227" s="305"/>
      <c r="I227" s="305"/>
    </row>
    <row r="228" spans="1:9" x14ac:dyDescent="0.2">
      <c r="A228" s="310" t="s">
        <v>1374</v>
      </c>
      <c r="B228" s="310" t="s">
        <v>1369</v>
      </c>
      <c r="C228" s="309">
        <v>42227</v>
      </c>
      <c r="D228" s="308" t="s">
        <v>1807</v>
      </c>
      <c r="E228" s="307">
        <v>1</v>
      </c>
      <c r="F228" s="311">
        <v>300</v>
      </c>
      <c r="G228" s="307">
        <v>54</v>
      </c>
      <c r="H228" s="305"/>
      <c r="I228" s="305"/>
    </row>
    <row r="229" spans="1:9" x14ac:dyDescent="0.2">
      <c r="A229" s="310" t="s">
        <v>1374</v>
      </c>
      <c r="B229" s="310" t="s">
        <v>1369</v>
      </c>
      <c r="C229" s="309">
        <v>42531</v>
      </c>
      <c r="D229" s="308" t="s">
        <v>2224</v>
      </c>
      <c r="E229" s="307">
        <v>1</v>
      </c>
      <c r="F229" s="311">
        <v>320</v>
      </c>
      <c r="G229" s="307">
        <v>54</v>
      </c>
      <c r="H229" s="305"/>
      <c r="I229" s="305"/>
    </row>
    <row r="230" spans="1:9" x14ac:dyDescent="0.2">
      <c r="A230" s="310" t="s">
        <v>1374</v>
      </c>
      <c r="B230" s="310" t="s">
        <v>1369</v>
      </c>
      <c r="C230" s="309">
        <v>42531</v>
      </c>
      <c r="D230" s="308" t="s">
        <v>2227</v>
      </c>
      <c r="E230" s="307">
        <v>1</v>
      </c>
      <c r="F230" s="311">
        <v>320</v>
      </c>
      <c r="G230" s="307">
        <v>54</v>
      </c>
      <c r="H230" s="305"/>
      <c r="I230" s="305"/>
    </row>
    <row r="231" spans="1:9" x14ac:dyDescent="0.2">
      <c r="A231" s="310" t="s">
        <v>1372</v>
      </c>
      <c r="B231" s="310" t="s">
        <v>1363</v>
      </c>
      <c r="C231" s="309">
        <v>42271</v>
      </c>
      <c r="D231" s="308" t="s">
        <v>1448</v>
      </c>
      <c r="E231" s="307">
        <v>1</v>
      </c>
      <c r="F231" s="311">
        <v>300</v>
      </c>
      <c r="G231" s="307">
        <v>54</v>
      </c>
      <c r="H231" s="305"/>
      <c r="I231" s="305"/>
    </row>
    <row r="232" spans="1:9" x14ac:dyDescent="0.2">
      <c r="A232" s="310" t="s">
        <v>1372</v>
      </c>
      <c r="B232" s="310" t="s">
        <v>1363</v>
      </c>
      <c r="C232" s="309">
        <v>42685</v>
      </c>
      <c r="D232" s="308" t="s">
        <v>2316</v>
      </c>
      <c r="E232" s="307">
        <v>1</v>
      </c>
      <c r="F232" s="311">
        <v>310</v>
      </c>
      <c r="G232" s="307">
        <v>54</v>
      </c>
      <c r="H232" s="305"/>
      <c r="I232" s="305"/>
    </row>
    <row r="233" spans="1:9" x14ac:dyDescent="0.2">
      <c r="A233" s="310" t="s">
        <v>1372</v>
      </c>
      <c r="B233" s="310" t="s">
        <v>1363</v>
      </c>
      <c r="C233" s="309">
        <v>42685</v>
      </c>
      <c r="D233" s="308" t="s">
        <v>2324</v>
      </c>
      <c r="E233" s="307">
        <v>1</v>
      </c>
      <c r="F233" s="311">
        <v>310</v>
      </c>
      <c r="G233" s="307">
        <v>54</v>
      </c>
      <c r="H233" s="305"/>
      <c r="I233" s="305"/>
    </row>
    <row r="234" spans="1:9" x14ac:dyDescent="0.2">
      <c r="A234" s="310" t="s">
        <v>1370</v>
      </c>
      <c r="B234" s="310" t="s">
        <v>1361</v>
      </c>
      <c r="C234" s="309">
        <v>42139</v>
      </c>
      <c r="D234" s="308" t="s">
        <v>1559</v>
      </c>
      <c r="E234" s="307">
        <v>1</v>
      </c>
      <c r="F234" s="311">
        <v>500</v>
      </c>
      <c r="G234" s="303">
        <f>59-(5)</f>
        <v>54</v>
      </c>
      <c r="H234" s="305"/>
      <c r="I234" s="305"/>
    </row>
    <row r="235" spans="1:9" x14ac:dyDescent="0.2">
      <c r="A235" s="310" t="s">
        <v>1368</v>
      </c>
      <c r="B235" s="310" t="s">
        <v>1367</v>
      </c>
      <c r="C235" s="309">
        <v>42439</v>
      </c>
      <c r="D235" s="308" t="s">
        <v>2470</v>
      </c>
      <c r="E235" s="307">
        <v>1</v>
      </c>
      <c r="F235" s="311">
        <v>200</v>
      </c>
      <c r="G235" s="306">
        <v>54</v>
      </c>
      <c r="H235" s="305"/>
      <c r="I235" s="305"/>
    </row>
    <row r="236" spans="1:9" x14ac:dyDescent="0.2">
      <c r="A236" s="310" t="s">
        <v>1368</v>
      </c>
      <c r="B236" s="310" t="s">
        <v>1367</v>
      </c>
      <c r="C236" s="309">
        <v>42490</v>
      </c>
      <c r="D236" s="308" t="s">
        <v>2525</v>
      </c>
      <c r="E236" s="307">
        <v>1</v>
      </c>
      <c r="F236" s="311">
        <v>200</v>
      </c>
      <c r="G236" s="306">
        <v>54</v>
      </c>
      <c r="H236" s="305"/>
      <c r="I236" s="305"/>
    </row>
    <row r="237" spans="1:9" x14ac:dyDescent="0.2">
      <c r="A237" s="310" t="s">
        <v>1368</v>
      </c>
      <c r="B237" s="310" t="s">
        <v>1367</v>
      </c>
      <c r="C237" s="309">
        <v>42505</v>
      </c>
      <c r="D237" s="308" t="s">
        <v>2305</v>
      </c>
      <c r="E237" s="307">
        <v>1</v>
      </c>
      <c r="F237" s="311">
        <v>200</v>
      </c>
      <c r="G237" s="306">
        <v>54</v>
      </c>
      <c r="H237" s="305"/>
      <c r="I237" s="305"/>
    </row>
    <row r="238" spans="1:9" x14ac:dyDescent="0.2">
      <c r="A238" s="310" t="s">
        <v>1364</v>
      </c>
      <c r="B238" s="310" t="s">
        <v>1371</v>
      </c>
      <c r="C238" s="309">
        <v>42157</v>
      </c>
      <c r="D238" s="308" t="s">
        <v>1727</v>
      </c>
      <c r="E238" s="307">
        <v>1</v>
      </c>
      <c r="F238" s="311">
        <v>600</v>
      </c>
      <c r="G238" s="306">
        <f>50+(4)</f>
        <v>54</v>
      </c>
      <c r="H238" s="305"/>
      <c r="I238" s="305"/>
    </row>
    <row r="239" spans="1:9" x14ac:dyDescent="0.2">
      <c r="A239" s="310" t="s">
        <v>1364</v>
      </c>
      <c r="B239" s="310" t="s">
        <v>1371</v>
      </c>
      <c r="C239" s="309">
        <v>42157</v>
      </c>
      <c r="D239" s="308" t="s">
        <v>1598</v>
      </c>
      <c r="E239" s="307">
        <v>1</v>
      </c>
      <c r="F239" s="311">
        <v>600</v>
      </c>
      <c r="G239" s="306">
        <f>50+(4)</f>
        <v>54</v>
      </c>
      <c r="H239" s="305"/>
      <c r="I239" s="305"/>
    </row>
    <row r="240" spans="1:9" x14ac:dyDescent="0.2">
      <c r="A240" s="310" t="s">
        <v>1364</v>
      </c>
      <c r="B240" s="310" t="s">
        <v>1371</v>
      </c>
      <c r="C240" s="309">
        <v>42430</v>
      </c>
      <c r="D240" s="308" t="s">
        <v>2735</v>
      </c>
      <c r="E240" s="307">
        <v>1</v>
      </c>
      <c r="F240" s="311">
        <v>650</v>
      </c>
      <c r="G240" s="306">
        <f>50+(4)</f>
        <v>54</v>
      </c>
      <c r="H240" s="305"/>
      <c r="I240" s="305"/>
    </row>
    <row r="241" spans="1:9" x14ac:dyDescent="0.2">
      <c r="A241" s="310" t="s">
        <v>1362</v>
      </c>
      <c r="B241" s="310" t="s">
        <v>1365</v>
      </c>
      <c r="C241" s="309">
        <v>42058</v>
      </c>
      <c r="D241" s="308" t="s">
        <v>1647</v>
      </c>
      <c r="E241" s="307">
        <v>1</v>
      </c>
      <c r="F241" s="311">
        <v>400</v>
      </c>
      <c r="G241" s="303">
        <f>66-(12)</f>
        <v>54</v>
      </c>
      <c r="H241" s="305"/>
      <c r="I241" s="305"/>
    </row>
    <row r="242" spans="1:9" x14ac:dyDescent="0.2">
      <c r="A242" s="310" t="s">
        <v>1362</v>
      </c>
      <c r="B242" s="310" t="s">
        <v>1365</v>
      </c>
      <c r="C242" s="309">
        <v>42592</v>
      </c>
      <c r="D242" s="308" t="s">
        <v>2815</v>
      </c>
      <c r="E242" s="307">
        <v>1</v>
      </c>
      <c r="F242" s="311">
        <v>400</v>
      </c>
      <c r="G242" s="303">
        <f>66-(12)</f>
        <v>54</v>
      </c>
      <c r="H242" s="305"/>
      <c r="I242" s="305"/>
    </row>
    <row r="243" spans="1:9" x14ac:dyDescent="0.2">
      <c r="A243" s="310" t="s">
        <v>1362</v>
      </c>
      <c r="B243" s="310" t="s">
        <v>1365</v>
      </c>
      <c r="C243" s="309">
        <v>42654</v>
      </c>
      <c r="D243" s="308" t="s">
        <v>2910</v>
      </c>
      <c r="E243" s="307">
        <v>1</v>
      </c>
      <c r="F243" s="311">
        <v>400</v>
      </c>
      <c r="G243" s="303">
        <f>66-(12)</f>
        <v>54</v>
      </c>
      <c r="H243" s="305"/>
      <c r="I243" s="305"/>
    </row>
    <row r="244" spans="1:9" x14ac:dyDescent="0.2">
      <c r="A244" s="310" t="s">
        <v>1362</v>
      </c>
      <c r="B244" s="310" t="s">
        <v>1365</v>
      </c>
      <c r="C244" s="309">
        <v>42654</v>
      </c>
      <c r="D244" s="308" t="s">
        <v>2855</v>
      </c>
      <c r="E244" s="307">
        <v>1</v>
      </c>
      <c r="F244" s="311">
        <v>400</v>
      </c>
      <c r="G244" s="303">
        <f>66-(12)</f>
        <v>54</v>
      </c>
      <c r="H244" s="305"/>
      <c r="I244" s="305"/>
    </row>
    <row r="245" spans="1:9" x14ac:dyDescent="0.2">
      <c r="A245" s="310" t="s">
        <v>1362</v>
      </c>
      <c r="B245" s="310" t="s">
        <v>1365</v>
      </c>
      <c r="C245" s="309">
        <v>42654</v>
      </c>
      <c r="D245" s="308" t="s">
        <v>2909</v>
      </c>
      <c r="E245" s="307">
        <v>1</v>
      </c>
      <c r="F245" s="311">
        <v>400</v>
      </c>
      <c r="G245" s="303">
        <f>66-(12)</f>
        <v>54</v>
      </c>
      <c r="H245" s="305"/>
      <c r="I245" s="305"/>
    </row>
    <row r="246" spans="1:9" x14ac:dyDescent="0.2">
      <c r="A246" s="310" t="s">
        <v>1359</v>
      </c>
      <c r="B246" s="310" t="s">
        <v>1363</v>
      </c>
      <c r="C246" s="309">
        <v>42064</v>
      </c>
      <c r="D246" s="308" t="s">
        <v>1520</v>
      </c>
      <c r="E246" s="307">
        <v>1</v>
      </c>
      <c r="F246" s="311">
        <v>400</v>
      </c>
      <c r="G246" s="307">
        <v>54</v>
      </c>
      <c r="H246" s="305"/>
      <c r="I246" s="305"/>
    </row>
    <row r="247" spans="1:9" x14ac:dyDescent="0.2">
      <c r="A247" s="310" t="s">
        <v>1359</v>
      </c>
      <c r="B247" s="310" t="s">
        <v>1363</v>
      </c>
      <c r="C247" s="309">
        <v>42064</v>
      </c>
      <c r="D247" s="308" t="s">
        <v>1493</v>
      </c>
      <c r="E247" s="307">
        <v>1</v>
      </c>
      <c r="F247" s="311">
        <v>400</v>
      </c>
      <c r="G247" s="307">
        <v>54</v>
      </c>
      <c r="H247" s="305"/>
      <c r="I247" s="305"/>
    </row>
    <row r="248" spans="1:9" x14ac:dyDescent="0.2">
      <c r="A248" s="310" t="s">
        <v>1359</v>
      </c>
      <c r="B248" s="310" t="s">
        <v>1363</v>
      </c>
      <c r="C248" s="309">
        <v>42424</v>
      </c>
      <c r="D248" s="308" t="s">
        <v>2961</v>
      </c>
      <c r="E248" s="307">
        <v>1</v>
      </c>
      <c r="F248" s="311">
        <v>400</v>
      </c>
      <c r="G248" s="307">
        <v>54</v>
      </c>
      <c r="H248" s="305"/>
      <c r="I248" s="305"/>
    </row>
    <row r="249" spans="1:9" x14ac:dyDescent="0.2">
      <c r="A249" s="310" t="s">
        <v>1359</v>
      </c>
      <c r="B249" s="310" t="s">
        <v>1363</v>
      </c>
      <c r="C249" s="309">
        <v>42623</v>
      </c>
      <c r="D249" s="308" t="s">
        <v>3001</v>
      </c>
      <c r="E249" s="307">
        <v>1</v>
      </c>
      <c r="F249" s="311">
        <v>400</v>
      </c>
      <c r="G249" s="307">
        <v>54</v>
      </c>
      <c r="H249" s="305"/>
      <c r="I249" s="305"/>
    </row>
    <row r="250" spans="1:9" x14ac:dyDescent="0.2">
      <c r="A250" s="310" t="s">
        <v>1359</v>
      </c>
      <c r="B250" s="310" t="s">
        <v>1363</v>
      </c>
      <c r="C250" s="309">
        <v>42623</v>
      </c>
      <c r="D250" s="308" t="s">
        <v>3000</v>
      </c>
      <c r="E250" s="307">
        <v>1</v>
      </c>
      <c r="F250" s="311">
        <v>400</v>
      </c>
      <c r="G250" s="307">
        <v>54</v>
      </c>
      <c r="H250" s="305"/>
      <c r="I250" s="305"/>
    </row>
    <row r="251" spans="1:9" x14ac:dyDescent="0.2">
      <c r="A251" s="310" t="s">
        <v>1358</v>
      </c>
      <c r="B251" s="310" t="s">
        <v>1375</v>
      </c>
      <c r="C251" s="309">
        <v>42544</v>
      </c>
      <c r="D251" s="308" t="s">
        <v>3053</v>
      </c>
      <c r="E251" s="307">
        <v>1</v>
      </c>
      <c r="F251" s="311">
        <v>320</v>
      </c>
      <c r="G251" s="307">
        <v>54</v>
      </c>
      <c r="H251" s="305"/>
      <c r="I251" s="305"/>
    </row>
    <row r="252" spans="1:9" x14ac:dyDescent="0.2">
      <c r="A252" s="310" t="s">
        <v>1319</v>
      </c>
      <c r="B252" s="310" t="s">
        <v>1371</v>
      </c>
      <c r="C252" s="309">
        <v>42258</v>
      </c>
      <c r="D252" s="308" t="s">
        <v>1456</v>
      </c>
      <c r="E252" s="307">
        <v>1</v>
      </c>
      <c r="F252" s="311">
        <v>100</v>
      </c>
      <c r="G252" s="306">
        <f>51+(4)</f>
        <v>55</v>
      </c>
      <c r="H252" s="305"/>
      <c r="I252" s="305"/>
    </row>
    <row r="253" spans="1:9" x14ac:dyDescent="0.2">
      <c r="A253" s="310" t="s">
        <v>1319</v>
      </c>
      <c r="B253" s="310" t="s">
        <v>1371</v>
      </c>
      <c r="C253" s="309">
        <v>42258</v>
      </c>
      <c r="D253" s="308" t="s">
        <v>1554</v>
      </c>
      <c r="E253" s="307">
        <v>1</v>
      </c>
      <c r="F253" s="311">
        <v>100</v>
      </c>
      <c r="G253" s="306">
        <f>51+(4)</f>
        <v>55</v>
      </c>
      <c r="H253" s="305"/>
      <c r="I253" s="305"/>
    </row>
    <row r="254" spans="1:9" x14ac:dyDescent="0.2">
      <c r="A254" s="310" t="s">
        <v>1319</v>
      </c>
      <c r="B254" s="310" t="s">
        <v>1373</v>
      </c>
      <c r="C254" s="309">
        <v>42415</v>
      </c>
      <c r="D254" s="308" t="s">
        <v>2045</v>
      </c>
      <c r="E254" s="307">
        <v>1</v>
      </c>
      <c r="F254" s="311">
        <v>120</v>
      </c>
      <c r="G254" s="306">
        <f>62-(7)</f>
        <v>55</v>
      </c>
      <c r="H254" s="305"/>
      <c r="I254" s="305"/>
    </row>
    <row r="255" spans="1:9" x14ac:dyDescent="0.2">
      <c r="A255" s="310" t="s">
        <v>1319</v>
      </c>
      <c r="B255" s="310" t="s">
        <v>1371</v>
      </c>
      <c r="C255" s="309">
        <v>42476</v>
      </c>
      <c r="D255" s="308" t="s">
        <v>2126</v>
      </c>
      <c r="E255" s="307">
        <v>1</v>
      </c>
      <c r="F255" s="311">
        <v>120</v>
      </c>
      <c r="G255" s="306">
        <f>51+(4)</f>
        <v>55</v>
      </c>
      <c r="H255" s="305"/>
      <c r="I255" s="305"/>
    </row>
    <row r="256" spans="1:9" x14ac:dyDescent="0.2">
      <c r="A256" s="310" t="s">
        <v>1313</v>
      </c>
      <c r="B256" s="310" t="s">
        <v>1361</v>
      </c>
      <c r="C256" s="309">
        <v>42177</v>
      </c>
      <c r="D256" s="308" t="s">
        <v>1974</v>
      </c>
      <c r="E256" s="307">
        <v>1</v>
      </c>
      <c r="F256" s="311">
        <v>200</v>
      </c>
      <c r="G256" s="303">
        <f>60-(5)</f>
        <v>55</v>
      </c>
      <c r="H256" s="305"/>
      <c r="I256" s="305"/>
    </row>
    <row r="257" spans="1:9" x14ac:dyDescent="0.2">
      <c r="A257" s="310" t="s">
        <v>1313</v>
      </c>
      <c r="B257" s="310" t="s">
        <v>1361</v>
      </c>
      <c r="C257" s="309">
        <v>42636</v>
      </c>
      <c r="D257" s="308" t="s">
        <v>2213</v>
      </c>
      <c r="E257" s="307">
        <v>1</v>
      </c>
      <c r="F257" s="311">
        <v>210</v>
      </c>
      <c r="G257" s="303">
        <f>60-(5)</f>
        <v>55</v>
      </c>
      <c r="H257" s="305"/>
      <c r="I257" s="305"/>
    </row>
    <row r="258" spans="1:9" x14ac:dyDescent="0.2">
      <c r="A258" s="310" t="s">
        <v>1372</v>
      </c>
      <c r="B258" s="310" t="s">
        <v>1365</v>
      </c>
      <c r="C258" s="309">
        <v>42056</v>
      </c>
      <c r="D258" s="308" t="s">
        <v>1542</v>
      </c>
      <c r="E258" s="307">
        <v>1</v>
      </c>
      <c r="F258" s="311">
        <v>300</v>
      </c>
      <c r="G258" s="303">
        <f>67-(12)</f>
        <v>55</v>
      </c>
      <c r="H258" s="305"/>
      <c r="I258" s="305"/>
    </row>
    <row r="259" spans="1:9" x14ac:dyDescent="0.2">
      <c r="A259" s="310" t="s">
        <v>1372</v>
      </c>
      <c r="B259" s="310" t="s">
        <v>1365</v>
      </c>
      <c r="C259" s="309">
        <v>42056</v>
      </c>
      <c r="D259" s="308" t="s">
        <v>1411</v>
      </c>
      <c r="E259" s="307">
        <v>1</v>
      </c>
      <c r="F259" s="311">
        <v>300</v>
      </c>
      <c r="G259" s="303">
        <f>67-(12)</f>
        <v>55</v>
      </c>
      <c r="H259" s="305"/>
      <c r="I259" s="305"/>
    </row>
    <row r="260" spans="1:9" x14ac:dyDescent="0.2">
      <c r="A260" s="310" t="s">
        <v>1372</v>
      </c>
      <c r="B260" s="310" t="s">
        <v>1365</v>
      </c>
      <c r="C260" s="309">
        <v>42056</v>
      </c>
      <c r="D260" s="308" t="s">
        <v>1953</v>
      </c>
      <c r="E260" s="307">
        <v>1</v>
      </c>
      <c r="F260" s="311">
        <v>300</v>
      </c>
      <c r="G260" s="303">
        <f>67-(12)</f>
        <v>55</v>
      </c>
      <c r="H260" s="305"/>
      <c r="I260" s="305"/>
    </row>
    <row r="261" spans="1:9" x14ac:dyDescent="0.2">
      <c r="A261" s="310" t="s">
        <v>1370</v>
      </c>
      <c r="B261" s="310" t="s">
        <v>1361</v>
      </c>
      <c r="C261" s="309">
        <v>42036</v>
      </c>
      <c r="D261" s="308" t="s">
        <v>1647</v>
      </c>
      <c r="E261" s="307">
        <v>1</v>
      </c>
      <c r="F261" s="311">
        <v>500</v>
      </c>
      <c r="G261" s="303">
        <f>60-(5)</f>
        <v>55</v>
      </c>
      <c r="H261" s="305"/>
      <c r="I261" s="305"/>
    </row>
    <row r="262" spans="1:9" x14ac:dyDescent="0.2">
      <c r="A262" s="310" t="s">
        <v>1370</v>
      </c>
      <c r="B262" s="310" t="s">
        <v>1361</v>
      </c>
      <c r="C262" s="309">
        <v>42036</v>
      </c>
      <c r="D262" s="308" t="s">
        <v>1914</v>
      </c>
      <c r="E262" s="307">
        <v>1</v>
      </c>
      <c r="F262" s="311">
        <v>500</v>
      </c>
      <c r="G262" s="303">
        <f>60-(5)</f>
        <v>55</v>
      </c>
      <c r="H262" s="305"/>
      <c r="I262" s="305"/>
    </row>
    <row r="263" spans="1:9" x14ac:dyDescent="0.2">
      <c r="A263" s="310" t="s">
        <v>1370</v>
      </c>
      <c r="B263" s="310" t="s">
        <v>1361</v>
      </c>
      <c r="C263" s="309">
        <v>42139</v>
      </c>
      <c r="D263" s="308" t="s">
        <v>1567</v>
      </c>
      <c r="E263" s="307">
        <v>1</v>
      </c>
      <c r="F263" s="311">
        <v>500</v>
      </c>
      <c r="G263" s="303">
        <f>60-(5)</f>
        <v>55</v>
      </c>
      <c r="H263" s="305"/>
      <c r="I263" s="305"/>
    </row>
    <row r="264" spans="1:9" x14ac:dyDescent="0.2">
      <c r="A264" s="310" t="s">
        <v>1370</v>
      </c>
      <c r="B264" s="310" t="s">
        <v>1373</v>
      </c>
      <c r="C264" s="309">
        <v>42288</v>
      </c>
      <c r="D264" s="308" t="s">
        <v>1746</v>
      </c>
      <c r="E264" s="307">
        <v>1</v>
      </c>
      <c r="F264" s="311">
        <v>500</v>
      </c>
      <c r="G264" s="306">
        <f>62-(7)</f>
        <v>55</v>
      </c>
      <c r="H264" s="305"/>
      <c r="I264" s="305"/>
    </row>
    <row r="265" spans="1:9" x14ac:dyDescent="0.2">
      <c r="A265" s="310" t="s">
        <v>1370</v>
      </c>
      <c r="B265" s="310" t="s">
        <v>1373</v>
      </c>
      <c r="C265" s="309">
        <v>42288</v>
      </c>
      <c r="D265" s="308" t="s">
        <v>1751</v>
      </c>
      <c r="E265" s="307">
        <v>1</v>
      </c>
      <c r="F265" s="311">
        <v>500</v>
      </c>
      <c r="G265" s="306">
        <f>62-(7)</f>
        <v>55</v>
      </c>
      <c r="H265" s="305"/>
      <c r="I265" s="305"/>
    </row>
    <row r="266" spans="1:9" x14ac:dyDescent="0.2">
      <c r="A266" s="310" t="s">
        <v>1370</v>
      </c>
      <c r="B266" s="310" t="s">
        <v>1361</v>
      </c>
      <c r="C266" s="309">
        <v>42447</v>
      </c>
      <c r="D266" s="308" t="s">
        <v>2408</v>
      </c>
      <c r="E266" s="307">
        <v>1</v>
      </c>
      <c r="F266" s="311">
        <v>500</v>
      </c>
      <c r="G266" s="303">
        <f>60-(5)</f>
        <v>55</v>
      </c>
      <c r="H266" s="305"/>
      <c r="I266" s="305"/>
    </row>
    <row r="267" spans="1:9" x14ac:dyDescent="0.2">
      <c r="A267" s="310" t="s">
        <v>1370</v>
      </c>
      <c r="B267" s="310" t="s">
        <v>1373</v>
      </c>
      <c r="C267" s="309">
        <v>42658</v>
      </c>
      <c r="D267" s="308" t="s">
        <v>2359</v>
      </c>
      <c r="E267" s="307">
        <v>1</v>
      </c>
      <c r="F267" s="311">
        <v>500</v>
      </c>
      <c r="G267" s="306">
        <f>62-(7)</f>
        <v>55</v>
      </c>
      <c r="H267" s="305"/>
      <c r="I267" s="305"/>
    </row>
    <row r="268" spans="1:9" x14ac:dyDescent="0.2">
      <c r="A268" s="310" t="s">
        <v>1368</v>
      </c>
      <c r="B268" s="310" t="s">
        <v>1371</v>
      </c>
      <c r="C268" s="309">
        <v>42323</v>
      </c>
      <c r="D268" s="308" t="s">
        <v>1891</v>
      </c>
      <c r="E268" s="307">
        <v>1</v>
      </c>
      <c r="F268" s="311">
        <v>200</v>
      </c>
      <c r="G268" s="306">
        <f>51+(4)</f>
        <v>55</v>
      </c>
      <c r="H268" s="305"/>
      <c r="I268" s="305"/>
    </row>
    <row r="269" spans="1:9" x14ac:dyDescent="0.2">
      <c r="A269" s="310" t="s">
        <v>1368</v>
      </c>
      <c r="B269" s="310" t="s">
        <v>1371</v>
      </c>
      <c r="C269" s="309">
        <v>42323</v>
      </c>
      <c r="D269" s="308" t="s">
        <v>1661</v>
      </c>
      <c r="E269" s="307">
        <v>1</v>
      </c>
      <c r="F269" s="311">
        <v>200</v>
      </c>
      <c r="G269" s="306">
        <f>51+(4)</f>
        <v>55</v>
      </c>
      <c r="H269" s="305"/>
      <c r="I269" s="305"/>
    </row>
    <row r="270" spans="1:9" x14ac:dyDescent="0.2">
      <c r="A270" s="310" t="s">
        <v>1368</v>
      </c>
      <c r="B270" s="310" t="s">
        <v>1371</v>
      </c>
      <c r="C270" s="309">
        <v>42412</v>
      </c>
      <c r="D270" s="308" t="s">
        <v>2441</v>
      </c>
      <c r="E270" s="307">
        <v>1</v>
      </c>
      <c r="F270" s="311">
        <v>200</v>
      </c>
      <c r="G270" s="306">
        <f>51+(4)</f>
        <v>55</v>
      </c>
      <c r="H270" s="305"/>
      <c r="I270" s="305"/>
    </row>
    <row r="271" spans="1:9" x14ac:dyDescent="0.2">
      <c r="A271" s="310" t="s">
        <v>1368</v>
      </c>
      <c r="B271" s="310" t="s">
        <v>1371</v>
      </c>
      <c r="C271" s="309">
        <v>42412</v>
      </c>
      <c r="D271" s="308" t="s">
        <v>2449</v>
      </c>
      <c r="E271" s="307">
        <v>1</v>
      </c>
      <c r="F271" s="311">
        <v>200</v>
      </c>
      <c r="G271" s="306">
        <f>51+(4)</f>
        <v>55</v>
      </c>
      <c r="H271" s="305"/>
      <c r="I271" s="305"/>
    </row>
    <row r="272" spans="1:9" x14ac:dyDescent="0.2">
      <c r="A272" s="310" t="s">
        <v>1368</v>
      </c>
      <c r="B272" s="310" t="s">
        <v>1367</v>
      </c>
      <c r="C272" s="309">
        <v>42593</v>
      </c>
      <c r="D272" s="308" t="s">
        <v>2623</v>
      </c>
      <c r="E272" s="307">
        <v>1</v>
      </c>
      <c r="F272" s="311">
        <v>200</v>
      </c>
      <c r="G272" s="306">
        <v>55</v>
      </c>
      <c r="H272" s="305"/>
      <c r="I272" s="305"/>
    </row>
    <row r="273" spans="1:9" x14ac:dyDescent="0.2">
      <c r="A273" s="310" t="s">
        <v>1368</v>
      </c>
      <c r="B273" s="310" t="s">
        <v>1367</v>
      </c>
      <c r="C273" s="309">
        <v>42614</v>
      </c>
      <c r="D273" s="308" t="s">
        <v>2637</v>
      </c>
      <c r="E273" s="307">
        <v>1</v>
      </c>
      <c r="F273" s="311">
        <v>200</v>
      </c>
      <c r="G273" s="306">
        <v>55</v>
      </c>
      <c r="H273" s="305"/>
      <c r="I273" s="305"/>
    </row>
    <row r="274" spans="1:9" x14ac:dyDescent="0.2">
      <c r="A274" s="310" t="s">
        <v>1364</v>
      </c>
      <c r="B274" s="310" t="s">
        <v>1367</v>
      </c>
      <c r="C274" s="309">
        <v>42091</v>
      </c>
      <c r="D274" s="308" t="s">
        <v>1678</v>
      </c>
      <c r="E274" s="307">
        <v>1</v>
      </c>
      <c r="F274" s="311">
        <v>600</v>
      </c>
      <c r="G274" s="306">
        <v>55</v>
      </c>
      <c r="H274" s="305"/>
      <c r="I274" s="305"/>
    </row>
    <row r="275" spans="1:9" x14ac:dyDescent="0.2">
      <c r="A275" s="310" t="s">
        <v>1364</v>
      </c>
      <c r="B275" s="310" t="s">
        <v>1371</v>
      </c>
      <c r="C275" s="309">
        <v>42157</v>
      </c>
      <c r="D275" s="308" t="s">
        <v>1724</v>
      </c>
      <c r="E275" s="307">
        <v>1</v>
      </c>
      <c r="F275" s="311">
        <v>600</v>
      </c>
      <c r="G275" s="306">
        <f>51+(4)</f>
        <v>55</v>
      </c>
      <c r="H275" s="305"/>
      <c r="I275" s="305"/>
    </row>
    <row r="276" spans="1:9" x14ac:dyDescent="0.2">
      <c r="A276" s="310" t="s">
        <v>1362</v>
      </c>
      <c r="B276" s="310" t="s">
        <v>1365</v>
      </c>
      <c r="C276" s="309">
        <v>42654</v>
      </c>
      <c r="D276" s="308" t="s">
        <v>2865</v>
      </c>
      <c r="E276" s="307">
        <v>1</v>
      </c>
      <c r="F276" s="311">
        <v>400</v>
      </c>
      <c r="G276" s="303">
        <f>67-(12)</f>
        <v>55</v>
      </c>
      <c r="H276" s="305"/>
      <c r="I276" s="305"/>
    </row>
    <row r="277" spans="1:9" x14ac:dyDescent="0.2">
      <c r="A277" s="310" t="s">
        <v>1362</v>
      </c>
      <c r="B277" s="310" t="s">
        <v>1365</v>
      </c>
      <c r="C277" s="309">
        <v>42654</v>
      </c>
      <c r="D277" s="308" t="s">
        <v>2844</v>
      </c>
      <c r="E277" s="307">
        <v>1</v>
      </c>
      <c r="F277" s="311">
        <v>400</v>
      </c>
      <c r="G277" s="303">
        <f>67-(12)</f>
        <v>55</v>
      </c>
      <c r="H277" s="305"/>
      <c r="I277" s="305"/>
    </row>
    <row r="278" spans="1:9" x14ac:dyDescent="0.2">
      <c r="A278" s="310" t="s">
        <v>1359</v>
      </c>
      <c r="B278" s="310" t="s">
        <v>1363</v>
      </c>
      <c r="C278" s="309">
        <v>42125</v>
      </c>
      <c r="D278" s="308" t="s">
        <v>1487</v>
      </c>
      <c r="E278" s="307">
        <v>1</v>
      </c>
      <c r="F278" s="311">
        <v>400</v>
      </c>
      <c r="G278" s="307">
        <v>55</v>
      </c>
      <c r="H278" s="305"/>
      <c r="I278" s="305"/>
    </row>
    <row r="279" spans="1:9" x14ac:dyDescent="0.2">
      <c r="A279" s="310" t="s">
        <v>1359</v>
      </c>
      <c r="B279" s="310" t="s">
        <v>1363</v>
      </c>
      <c r="C279" s="309">
        <v>42125</v>
      </c>
      <c r="D279" s="308" t="s">
        <v>1483</v>
      </c>
      <c r="E279" s="307">
        <v>1</v>
      </c>
      <c r="F279" s="311">
        <v>400</v>
      </c>
      <c r="G279" s="307">
        <v>55</v>
      </c>
      <c r="H279" s="305"/>
      <c r="I279" s="305"/>
    </row>
    <row r="280" spans="1:9" x14ac:dyDescent="0.2">
      <c r="A280" s="310" t="s">
        <v>1359</v>
      </c>
      <c r="B280" s="310" t="s">
        <v>1363</v>
      </c>
      <c r="C280" s="309">
        <v>42125</v>
      </c>
      <c r="D280" s="308" t="s">
        <v>1482</v>
      </c>
      <c r="E280" s="307">
        <v>1</v>
      </c>
      <c r="F280" s="311">
        <v>400</v>
      </c>
      <c r="G280" s="307">
        <v>55</v>
      </c>
      <c r="H280" s="305"/>
      <c r="I280" s="305"/>
    </row>
    <row r="281" spans="1:9" x14ac:dyDescent="0.2">
      <c r="A281" s="310" t="s">
        <v>1359</v>
      </c>
      <c r="B281" s="310" t="s">
        <v>1363</v>
      </c>
      <c r="C281" s="309">
        <v>42125</v>
      </c>
      <c r="D281" s="308" t="s">
        <v>1473</v>
      </c>
      <c r="E281" s="307">
        <v>1</v>
      </c>
      <c r="F281" s="311">
        <v>400</v>
      </c>
      <c r="G281" s="307">
        <v>55</v>
      </c>
      <c r="H281" s="305"/>
      <c r="I281" s="305"/>
    </row>
    <row r="282" spans="1:9" x14ac:dyDescent="0.2">
      <c r="A282" s="310" t="s">
        <v>1359</v>
      </c>
      <c r="B282" s="310" t="s">
        <v>1363</v>
      </c>
      <c r="C282" s="309">
        <v>42424</v>
      </c>
      <c r="D282" s="308" t="s">
        <v>2958</v>
      </c>
      <c r="E282" s="307">
        <v>1</v>
      </c>
      <c r="F282" s="311">
        <v>400</v>
      </c>
      <c r="G282" s="307">
        <v>55</v>
      </c>
      <c r="H282" s="305"/>
      <c r="I282" s="305"/>
    </row>
    <row r="283" spans="1:9" x14ac:dyDescent="0.2">
      <c r="A283" s="310" t="s">
        <v>1359</v>
      </c>
      <c r="B283" s="310" t="s">
        <v>1363</v>
      </c>
      <c r="C283" s="309">
        <v>42623</v>
      </c>
      <c r="D283" s="308" t="s">
        <v>2994</v>
      </c>
      <c r="E283" s="307">
        <v>1</v>
      </c>
      <c r="F283" s="311">
        <v>400</v>
      </c>
      <c r="G283" s="307">
        <v>55</v>
      </c>
      <c r="H283" s="305"/>
      <c r="I283" s="305"/>
    </row>
    <row r="284" spans="1:9" x14ac:dyDescent="0.2">
      <c r="A284" s="310" t="s">
        <v>1319</v>
      </c>
      <c r="B284" s="310" t="s">
        <v>1371</v>
      </c>
      <c r="C284" s="309">
        <v>42258</v>
      </c>
      <c r="D284" s="308" t="s">
        <v>1814</v>
      </c>
      <c r="E284" s="307">
        <v>1</v>
      </c>
      <c r="F284" s="311">
        <v>100</v>
      </c>
      <c r="G284" s="306">
        <f>52+(4)</f>
        <v>56</v>
      </c>
      <c r="H284" s="305"/>
      <c r="I284" s="305"/>
    </row>
    <row r="285" spans="1:9" x14ac:dyDescent="0.2">
      <c r="A285" s="310" t="s">
        <v>1319</v>
      </c>
      <c r="B285" s="310" t="s">
        <v>1371</v>
      </c>
      <c r="C285" s="309">
        <v>42476</v>
      </c>
      <c r="D285" s="308" t="s">
        <v>2116</v>
      </c>
      <c r="E285" s="307">
        <v>1</v>
      </c>
      <c r="F285" s="311">
        <v>120</v>
      </c>
      <c r="G285" s="306">
        <f>52+(4)</f>
        <v>56</v>
      </c>
      <c r="H285" s="305"/>
      <c r="I285" s="305"/>
    </row>
    <row r="286" spans="1:9" x14ac:dyDescent="0.2">
      <c r="A286" s="310" t="s">
        <v>1319</v>
      </c>
      <c r="B286" s="310" t="s">
        <v>1371</v>
      </c>
      <c r="C286" s="309">
        <v>42476</v>
      </c>
      <c r="D286" s="308" t="s">
        <v>2092</v>
      </c>
      <c r="E286" s="307">
        <v>1</v>
      </c>
      <c r="F286" s="311">
        <v>120</v>
      </c>
      <c r="G286" s="306">
        <f>52+(4)</f>
        <v>56</v>
      </c>
      <c r="H286" s="305"/>
      <c r="I286" s="305"/>
    </row>
    <row r="287" spans="1:9" x14ac:dyDescent="0.2">
      <c r="A287" s="310" t="s">
        <v>1313</v>
      </c>
      <c r="B287" s="310" t="s">
        <v>1373</v>
      </c>
      <c r="C287" s="309">
        <v>42105</v>
      </c>
      <c r="D287" s="308" t="s">
        <v>1832</v>
      </c>
      <c r="E287" s="307">
        <v>1</v>
      </c>
      <c r="F287" s="311">
        <v>200</v>
      </c>
      <c r="G287" s="306">
        <f>63-(7)</f>
        <v>56</v>
      </c>
      <c r="H287" s="305"/>
      <c r="I287" s="305"/>
    </row>
    <row r="288" spans="1:9" x14ac:dyDescent="0.2">
      <c r="A288" s="310" t="s">
        <v>1374</v>
      </c>
      <c r="B288" s="310" t="s">
        <v>1369</v>
      </c>
      <c r="C288" s="309">
        <v>42227</v>
      </c>
      <c r="D288" s="308" t="s">
        <v>1692</v>
      </c>
      <c r="E288" s="307">
        <v>1</v>
      </c>
      <c r="F288" s="311">
        <v>300</v>
      </c>
      <c r="G288" s="307">
        <v>56</v>
      </c>
      <c r="H288" s="305"/>
      <c r="I288" s="305"/>
    </row>
    <row r="289" spans="1:9" x14ac:dyDescent="0.2">
      <c r="A289" s="310" t="s">
        <v>1372</v>
      </c>
      <c r="B289" s="310" t="s">
        <v>1365</v>
      </c>
      <c r="C289" s="309">
        <v>42056</v>
      </c>
      <c r="D289" s="308" t="s">
        <v>1706</v>
      </c>
      <c r="E289" s="307">
        <v>1</v>
      </c>
      <c r="F289" s="311">
        <v>300</v>
      </c>
      <c r="G289" s="303">
        <f>68-(12)</f>
        <v>56</v>
      </c>
      <c r="H289" s="305"/>
      <c r="I289" s="305"/>
    </row>
    <row r="290" spans="1:9" x14ac:dyDescent="0.2">
      <c r="A290" s="310" t="s">
        <v>1372</v>
      </c>
      <c r="B290" s="310" t="s">
        <v>1363</v>
      </c>
      <c r="C290" s="309">
        <v>42271</v>
      </c>
      <c r="D290" s="308" t="s">
        <v>1456</v>
      </c>
      <c r="E290" s="307">
        <v>1</v>
      </c>
      <c r="F290" s="311">
        <v>300</v>
      </c>
      <c r="G290" s="307">
        <v>56</v>
      </c>
      <c r="H290" s="305"/>
      <c r="I290" s="305"/>
    </row>
    <row r="291" spans="1:9" x14ac:dyDescent="0.2">
      <c r="A291" s="310" t="s">
        <v>1370</v>
      </c>
      <c r="B291" s="310" t="s">
        <v>1361</v>
      </c>
      <c r="C291" s="309">
        <v>42036</v>
      </c>
      <c r="D291" s="308" t="s">
        <v>1561</v>
      </c>
      <c r="E291" s="307">
        <v>1</v>
      </c>
      <c r="F291" s="311">
        <v>500</v>
      </c>
      <c r="G291" s="303">
        <f t="shared" ref="G291:G297" si="3">61-(5)</f>
        <v>56</v>
      </c>
      <c r="H291" s="305"/>
      <c r="I291" s="305"/>
    </row>
    <row r="292" spans="1:9" x14ac:dyDescent="0.2">
      <c r="A292" s="310" t="s">
        <v>1370</v>
      </c>
      <c r="B292" s="310" t="s">
        <v>1361</v>
      </c>
      <c r="C292" s="309">
        <v>42036</v>
      </c>
      <c r="D292" s="308" t="s">
        <v>1431</v>
      </c>
      <c r="E292" s="307">
        <v>1</v>
      </c>
      <c r="F292" s="311">
        <v>500</v>
      </c>
      <c r="G292" s="303">
        <f t="shared" si="3"/>
        <v>56</v>
      </c>
      <c r="H292" s="305"/>
      <c r="I292" s="305"/>
    </row>
    <row r="293" spans="1:9" x14ac:dyDescent="0.2">
      <c r="A293" s="310" t="s">
        <v>1370</v>
      </c>
      <c r="B293" s="310" t="s">
        <v>1361</v>
      </c>
      <c r="C293" s="309">
        <v>42036</v>
      </c>
      <c r="D293" s="308" t="s">
        <v>1830</v>
      </c>
      <c r="E293" s="307">
        <v>1</v>
      </c>
      <c r="F293" s="311">
        <v>500</v>
      </c>
      <c r="G293" s="303">
        <f t="shared" si="3"/>
        <v>56</v>
      </c>
      <c r="H293" s="305"/>
      <c r="I293" s="305"/>
    </row>
    <row r="294" spans="1:9" x14ac:dyDescent="0.2">
      <c r="A294" s="310" t="s">
        <v>1370</v>
      </c>
      <c r="B294" s="310" t="s">
        <v>1361</v>
      </c>
      <c r="C294" s="309">
        <v>42139</v>
      </c>
      <c r="D294" s="308" t="s">
        <v>1834</v>
      </c>
      <c r="E294" s="307">
        <v>1</v>
      </c>
      <c r="F294" s="311">
        <v>500</v>
      </c>
      <c r="G294" s="303">
        <f t="shared" si="3"/>
        <v>56</v>
      </c>
      <c r="H294" s="305"/>
      <c r="I294" s="305"/>
    </row>
    <row r="295" spans="1:9" x14ac:dyDescent="0.2">
      <c r="A295" s="310" t="s">
        <v>1370</v>
      </c>
      <c r="B295" s="310" t="s">
        <v>1361</v>
      </c>
      <c r="C295" s="309">
        <v>42139</v>
      </c>
      <c r="D295" s="308" t="s">
        <v>1901</v>
      </c>
      <c r="E295" s="307">
        <v>1</v>
      </c>
      <c r="F295" s="311">
        <v>500</v>
      </c>
      <c r="G295" s="303">
        <f t="shared" si="3"/>
        <v>56</v>
      </c>
      <c r="H295" s="305"/>
      <c r="I295" s="305"/>
    </row>
    <row r="296" spans="1:9" x14ac:dyDescent="0.2">
      <c r="A296" s="310" t="s">
        <v>1370</v>
      </c>
      <c r="B296" s="310" t="s">
        <v>1361</v>
      </c>
      <c r="C296" s="309">
        <v>42139</v>
      </c>
      <c r="D296" s="308" t="s">
        <v>1840</v>
      </c>
      <c r="E296" s="307">
        <v>1</v>
      </c>
      <c r="F296" s="311">
        <v>500</v>
      </c>
      <c r="G296" s="303">
        <f t="shared" si="3"/>
        <v>56</v>
      </c>
      <c r="H296" s="305"/>
      <c r="I296" s="305"/>
    </row>
    <row r="297" spans="1:9" x14ac:dyDescent="0.2">
      <c r="A297" s="310" t="s">
        <v>1370</v>
      </c>
      <c r="B297" s="310" t="s">
        <v>1361</v>
      </c>
      <c r="C297" s="309">
        <v>42447</v>
      </c>
      <c r="D297" s="308" t="s">
        <v>2378</v>
      </c>
      <c r="E297" s="307">
        <v>1</v>
      </c>
      <c r="F297" s="311">
        <v>500</v>
      </c>
      <c r="G297" s="303">
        <f t="shared" si="3"/>
        <v>56</v>
      </c>
      <c r="H297" s="305"/>
      <c r="I297" s="305"/>
    </row>
    <row r="298" spans="1:9" x14ac:dyDescent="0.2">
      <c r="A298" s="310" t="s">
        <v>1368</v>
      </c>
      <c r="B298" s="310" t="s">
        <v>1367</v>
      </c>
      <c r="C298" s="309">
        <v>42068</v>
      </c>
      <c r="D298" s="308" t="s">
        <v>1835</v>
      </c>
      <c r="E298" s="307">
        <v>1</v>
      </c>
      <c r="F298" s="311">
        <v>200</v>
      </c>
      <c r="G298" s="306">
        <v>56</v>
      </c>
      <c r="H298" s="305"/>
      <c r="I298" s="305"/>
    </row>
    <row r="299" spans="1:9" x14ac:dyDescent="0.2">
      <c r="A299" s="310" t="s">
        <v>1368</v>
      </c>
      <c r="B299" s="310" t="s">
        <v>1367</v>
      </c>
      <c r="C299" s="309">
        <v>42170</v>
      </c>
      <c r="D299" s="308" t="s">
        <v>1806</v>
      </c>
      <c r="E299" s="307">
        <v>1</v>
      </c>
      <c r="F299" s="311">
        <v>200</v>
      </c>
      <c r="G299" s="306">
        <v>56</v>
      </c>
      <c r="H299" s="305"/>
      <c r="I299" s="305"/>
    </row>
    <row r="300" spans="1:9" x14ac:dyDescent="0.2">
      <c r="A300" s="310" t="s">
        <v>1368</v>
      </c>
      <c r="B300" s="310" t="s">
        <v>1367</v>
      </c>
      <c r="C300" s="309">
        <v>42170</v>
      </c>
      <c r="D300" s="308" t="s">
        <v>1803</v>
      </c>
      <c r="E300" s="307">
        <v>1</v>
      </c>
      <c r="F300" s="311">
        <v>200</v>
      </c>
      <c r="G300" s="306">
        <v>56</v>
      </c>
      <c r="H300" s="305"/>
      <c r="I300" s="305"/>
    </row>
    <row r="301" spans="1:9" x14ac:dyDescent="0.2">
      <c r="A301" s="310" t="s">
        <v>1368</v>
      </c>
      <c r="B301" s="310" t="s">
        <v>1367</v>
      </c>
      <c r="C301" s="309">
        <v>42282</v>
      </c>
      <c r="D301" s="308" t="s">
        <v>1759</v>
      </c>
      <c r="E301" s="307">
        <v>1</v>
      </c>
      <c r="F301" s="311">
        <v>200</v>
      </c>
      <c r="G301" s="306">
        <v>56</v>
      </c>
      <c r="H301" s="305"/>
      <c r="I301" s="305"/>
    </row>
    <row r="302" spans="1:9" x14ac:dyDescent="0.2">
      <c r="A302" s="310" t="s">
        <v>1368</v>
      </c>
      <c r="B302" s="310" t="s">
        <v>1367</v>
      </c>
      <c r="C302" s="309">
        <v>42282</v>
      </c>
      <c r="D302" s="308" t="s">
        <v>1586</v>
      </c>
      <c r="E302" s="307">
        <v>1</v>
      </c>
      <c r="F302" s="311">
        <v>200</v>
      </c>
      <c r="G302" s="306">
        <v>56</v>
      </c>
      <c r="H302" s="305"/>
      <c r="I302" s="305"/>
    </row>
    <row r="303" spans="1:9" x14ac:dyDescent="0.2">
      <c r="A303" s="310" t="s">
        <v>1368</v>
      </c>
      <c r="B303" s="310" t="s">
        <v>1371</v>
      </c>
      <c r="C303" s="309">
        <v>42323</v>
      </c>
      <c r="D303" s="308" t="s">
        <v>1874</v>
      </c>
      <c r="E303" s="307">
        <v>1</v>
      </c>
      <c r="F303" s="311">
        <v>200</v>
      </c>
      <c r="G303" s="306">
        <f t="shared" ref="G303:G308" si="4">52+(4)</f>
        <v>56</v>
      </c>
      <c r="H303" s="305"/>
      <c r="I303" s="305"/>
    </row>
    <row r="304" spans="1:9" x14ac:dyDescent="0.2">
      <c r="A304" s="310" t="s">
        <v>1368</v>
      </c>
      <c r="B304" s="310" t="s">
        <v>1371</v>
      </c>
      <c r="C304" s="309">
        <v>42340</v>
      </c>
      <c r="D304" s="308" t="s">
        <v>1566</v>
      </c>
      <c r="E304" s="307">
        <v>1</v>
      </c>
      <c r="F304" s="311">
        <v>200</v>
      </c>
      <c r="G304" s="306">
        <f t="shared" si="4"/>
        <v>56</v>
      </c>
      <c r="H304" s="305"/>
      <c r="I304" s="305"/>
    </row>
    <row r="305" spans="1:9" x14ac:dyDescent="0.2">
      <c r="A305" s="310" t="s">
        <v>1368</v>
      </c>
      <c r="B305" s="310" t="s">
        <v>1371</v>
      </c>
      <c r="C305" s="309">
        <v>42340</v>
      </c>
      <c r="D305" s="308" t="s">
        <v>1863</v>
      </c>
      <c r="E305" s="307">
        <v>1</v>
      </c>
      <c r="F305" s="311">
        <v>200</v>
      </c>
      <c r="G305" s="306">
        <f t="shared" si="4"/>
        <v>56</v>
      </c>
      <c r="H305" s="305"/>
      <c r="I305" s="305"/>
    </row>
    <row r="306" spans="1:9" x14ac:dyDescent="0.2">
      <c r="A306" s="310" t="s">
        <v>1368</v>
      </c>
      <c r="B306" s="310" t="s">
        <v>1371</v>
      </c>
      <c r="C306" s="309">
        <v>42340</v>
      </c>
      <c r="D306" s="308" t="s">
        <v>1721</v>
      </c>
      <c r="E306" s="307">
        <v>1</v>
      </c>
      <c r="F306" s="311">
        <v>200</v>
      </c>
      <c r="G306" s="306">
        <f t="shared" si="4"/>
        <v>56</v>
      </c>
      <c r="H306" s="305"/>
      <c r="I306" s="305"/>
    </row>
    <row r="307" spans="1:9" x14ac:dyDescent="0.2">
      <c r="A307" s="310" t="s">
        <v>1368</v>
      </c>
      <c r="B307" s="310" t="s">
        <v>1371</v>
      </c>
      <c r="C307" s="309">
        <v>42340</v>
      </c>
      <c r="D307" s="308" t="s">
        <v>1689</v>
      </c>
      <c r="E307" s="307">
        <v>1</v>
      </c>
      <c r="F307" s="311">
        <v>200</v>
      </c>
      <c r="G307" s="306">
        <f t="shared" si="4"/>
        <v>56</v>
      </c>
      <c r="H307" s="305"/>
      <c r="I307" s="305"/>
    </row>
    <row r="308" spans="1:9" x14ac:dyDescent="0.2">
      <c r="A308" s="310" t="s">
        <v>1368</v>
      </c>
      <c r="B308" s="310" t="s">
        <v>1371</v>
      </c>
      <c r="C308" s="309">
        <v>42412</v>
      </c>
      <c r="D308" s="308" t="s">
        <v>2454</v>
      </c>
      <c r="E308" s="307">
        <v>1</v>
      </c>
      <c r="F308" s="311">
        <v>200</v>
      </c>
      <c r="G308" s="306">
        <f t="shared" si="4"/>
        <v>56</v>
      </c>
      <c r="H308" s="305"/>
      <c r="I308" s="305"/>
    </row>
    <row r="309" spans="1:9" x14ac:dyDescent="0.2">
      <c r="A309" s="310" t="s">
        <v>1368</v>
      </c>
      <c r="B309" s="310" t="s">
        <v>1367</v>
      </c>
      <c r="C309" s="309">
        <v>42439</v>
      </c>
      <c r="D309" s="308" t="s">
        <v>2460</v>
      </c>
      <c r="E309" s="307">
        <v>1</v>
      </c>
      <c r="F309" s="311">
        <v>200</v>
      </c>
      <c r="G309" s="306">
        <v>56</v>
      </c>
      <c r="H309" s="305"/>
      <c r="I309" s="305"/>
    </row>
    <row r="310" spans="1:9" x14ac:dyDescent="0.2">
      <c r="A310" s="310" t="s">
        <v>1368</v>
      </c>
      <c r="B310" s="310" t="s">
        <v>1367</v>
      </c>
      <c r="C310" s="309">
        <v>42439</v>
      </c>
      <c r="D310" s="308" t="s">
        <v>2461</v>
      </c>
      <c r="E310" s="307">
        <v>1</v>
      </c>
      <c r="F310" s="311">
        <v>200</v>
      </c>
      <c r="G310" s="306">
        <v>56</v>
      </c>
      <c r="H310" s="305"/>
      <c r="I310" s="305"/>
    </row>
    <row r="311" spans="1:9" x14ac:dyDescent="0.2">
      <c r="A311" s="310" t="s">
        <v>1368</v>
      </c>
      <c r="B311" s="310" t="s">
        <v>1367</v>
      </c>
      <c r="C311" s="309">
        <v>42490</v>
      </c>
      <c r="D311" s="308" t="s">
        <v>2526</v>
      </c>
      <c r="E311" s="307">
        <v>1</v>
      </c>
      <c r="F311" s="311">
        <v>200</v>
      </c>
      <c r="G311" s="306">
        <v>56</v>
      </c>
      <c r="H311" s="305"/>
      <c r="I311" s="305"/>
    </row>
    <row r="312" spans="1:9" x14ac:dyDescent="0.2">
      <c r="A312" s="310" t="s">
        <v>1368</v>
      </c>
      <c r="B312" s="310" t="s">
        <v>1367</v>
      </c>
      <c r="C312" s="309">
        <v>42505</v>
      </c>
      <c r="D312" s="308" t="s">
        <v>2553</v>
      </c>
      <c r="E312" s="307">
        <v>1</v>
      </c>
      <c r="F312" s="311">
        <v>200</v>
      </c>
      <c r="G312" s="306">
        <v>56</v>
      </c>
      <c r="H312" s="305"/>
      <c r="I312" s="305"/>
    </row>
    <row r="313" spans="1:9" x14ac:dyDescent="0.2">
      <c r="A313" s="310" t="s">
        <v>1368</v>
      </c>
      <c r="B313" s="310" t="s">
        <v>1367</v>
      </c>
      <c r="C313" s="309">
        <v>42545</v>
      </c>
      <c r="D313" s="308" t="s">
        <v>2570</v>
      </c>
      <c r="E313" s="307">
        <v>1</v>
      </c>
      <c r="F313" s="311">
        <v>200</v>
      </c>
      <c r="G313" s="306">
        <v>56</v>
      </c>
      <c r="H313" s="305"/>
      <c r="I313" s="305"/>
    </row>
    <row r="314" spans="1:9" x14ac:dyDescent="0.2">
      <c r="A314" s="310" t="s">
        <v>1368</v>
      </c>
      <c r="B314" s="310" t="s">
        <v>1367</v>
      </c>
      <c r="C314" s="309">
        <v>42593</v>
      </c>
      <c r="D314" s="308" t="s">
        <v>2612</v>
      </c>
      <c r="E314" s="307">
        <v>1</v>
      </c>
      <c r="F314" s="311">
        <v>200</v>
      </c>
      <c r="G314" s="306">
        <v>56</v>
      </c>
      <c r="H314" s="305"/>
      <c r="I314" s="305"/>
    </row>
    <row r="315" spans="1:9" x14ac:dyDescent="0.2">
      <c r="A315" s="310" t="s">
        <v>1364</v>
      </c>
      <c r="B315" s="310" t="s">
        <v>1367</v>
      </c>
      <c r="C315" s="309">
        <v>42091</v>
      </c>
      <c r="D315" s="308" t="s">
        <v>1423</v>
      </c>
      <c r="E315" s="307">
        <v>1</v>
      </c>
      <c r="F315" s="311">
        <v>600</v>
      </c>
      <c r="G315" s="306">
        <v>56</v>
      </c>
      <c r="H315" s="305"/>
      <c r="I315" s="305"/>
    </row>
    <row r="316" spans="1:9" x14ac:dyDescent="0.2">
      <c r="A316" s="310" t="s">
        <v>1364</v>
      </c>
      <c r="B316" s="310" t="s">
        <v>1371</v>
      </c>
      <c r="C316" s="309">
        <v>42157</v>
      </c>
      <c r="D316" s="308" t="s">
        <v>1713</v>
      </c>
      <c r="E316" s="307">
        <v>1</v>
      </c>
      <c r="F316" s="311">
        <v>600</v>
      </c>
      <c r="G316" s="306">
        <f>52+(4)</f>
        <v>56</v>
      </c>
      <c r="H316" s="305"/>
      <c r="I316" s="305"/>
    </row>
    <row r="317" spans="1:9" x14ac:dyDescent="0.2">
      <c r="A317" s="310" t="s">
        <v>1364</v>
      </c>
      <c r="B317" s="310" t="s">
        <v>1371</v>
      </c>
      <c r="C317" s="309">
        <v>42430</v>
      </c>
      <c r="D317" s="308" t="s">
        <v>2548</v>
      </c>
      <c r="E317" s="307">
        <v>1</v>
      </c>
      <c r="F317" s="311">
        <v>650</v>
      </c>
      <c r="G317" s="306">
        <f>52+(4)</f>
        <v>56</v>
      </c>
      <c r="H317" s="305"/>
      <c r="I317" s="305"/>
    </row>
    <row r="318" spans="1:9" x14ac:dyDescent="0.2">
      <c r="A318" s="310" t="s">
        <v>1364</v>
      </c>
      <c r="B318" s="310" t="s">
        <v>1367</v>
      </c>
      <c r="C318" s="309">
        <v>42638</v>
      </c>
      <c r="D318" s="308" t="s">
        <v>2781</v>
      </c>
      <c r="E318" s="307">
        <v>1</v>
      </c>
      <c r="F318" s="311">
        <v>650</v>
      </c>
      <c r="G318" s="306">
        <v>56</v>
      </c>
      <c r="H318" s="305"/>
      <c r="I318" s="305"/>
    </row>
    <row r="319" spans="1:9" x14ac:dyDescent="0.2">
      <c r="A319" s="310" t="s">
        <v>1364</v>
      </c>
      <c r="B319" s="310" t="s">
        <v>1367</v>
      </c>
      <c r="C319" s="309">
        <v>42638</v>
      </c>
      <c r="D319" s="308" t="s">
        <v>2757</v>
      </c>
      <c r="E319" s="307">
        <v>1</v>
      </c>
      <c r="F319" s="311">
        <v>650</v>
      </c>
      <c r="G319" s="306">
        <v>56</v>
      </c>
      <c r="H319" s="305"/>
      <c r="I319" s="305"/>
    </row>
    <row r="320" spans="1:9" x14ac:dyDescent="0.2">
      <c r="A320" s="310" t="s">
        <v>1364</v>
      </c>
      <c r="B320" s="310" t="s">
        <v>1367</v>
      </c>
      <c r="C320" s="309">
        <v>42638</v>
      </c>
      <c r="D320" s="308" t="s">
        <v>2777</v>
      </c>
      <c r="E320" s="307">
        <v>1</v>
      </c>
      <c r="F320" s="311">
        <v>650</v>
      </c>
      <c r="G320" s="306">
        <v>56</v>
      </c>
      <c r="H320" s="305"/>
      <c r="I320" s="305"/>
    </row>
    <row r="321" spans="1:9" x14ac:dyDescent="0.2">
      <c r="A321" s="310" t="s">
        <v>1362</v>
      </c>
      <c r="B321" s="310" t="s">
        <v>1365</v>
      </c>
      <c r="C321" s="309">
        <v>42058</v>
      </c>
      <c r="D321" s="308" t="s">
        <v>1645</v>
      </c>
      <c r="E321" s="307">
        <v>1</v>
      </c>
      <c r="F321" s="311">
        <v>400</v>
      </c>
      <c r="G321" s="303">
        <f t="shared" ref="G321:G326" si="5">68-(12)</f>
        <v>56</v>
      </c>
      <c r="H321" s="305"/>
      <c r="I321" s="305"/>
    </row>
    <row r="322" spans="1:9" x14ac:dyDescent="0.2">
      <c r="A322" s="310" t="s">
        <v>1362</v>
      </c>
      <c r="B322" s="310" t="s">
        <v>1365</v>
      </c>
      <c r="C322" s="309">
        <v>42127</v>
      </c>
      <c r="D322" s="308" t="s">
        <v>1592</v>
      </c>
      <c r="E322" s="307">
        <v>1</v>
      </c>
      <c r="F322" s="311">
        <v>400</v>
      </c>
      <c r="G322" s="303">
        <f t="shared" si="5"/>
        <v>56</v>
      </c>
      <c r="H322" s="305"/>
      <c r="I322" s="305"/>
    </row>
    <row r="323" spans="1:9" x14ac:dyDescent="0.2">
      <c r="A323" s="310" t="s">
        <v>1362</v>
      </c>
      <c r="B323" s="310" t="s">
        <v>1365</v>
      </c>
      <c r="C323" s="309">
        <v>42127</v>
      </c>
      <c r="D323" s="308" t="s">
        <v>1584</v>
      </c>
      <c r="E323" s="307">
        <v>1</v>
      </c>
      <c r="F323" s="311">
        <v>400</v>
      </c>
      <c r="G323" s="303">
        <f t="shared" si="5"/>
        <v>56</v>
      </c>
      <c r="H323" s="305"/>
      <c r="I323" s="305"/>
    </row>
    <row r="324" spans="1:9" x14ac:dyDescent="0.2">
      <c r="A324" s="310" t="s">
        <v>1362</v>
      </c>
      <c r="B324" s="310" t="s">
        <v>1365</v>
      </c>
      <c r="C324" s="309">
        <v>42268</v>
      </c>
      <c r="D324" s="308" t="s">
        <v>1491</v>
      </c>
      <c r="E324" s="307">
        <v>1</v>
      </c>
      <c r="F324" s="311">
        <v>400</v>
      </c>
      <c r="G324" s="303">
        <f t="shared" si="5"/>
        <v>56</v>
      </c>
      <c r="H324" s="305"/>
      <c r="I324" s="305"/>
    </row>
    <row r="325" spans="1:9" x14ac:dyDescent="0.2">
      <c r="A325" s="310" t="s">
        <v>1362</v>
      </c>
      <c r="B325" s="310" t="s">
        <v>1365</v>
      </c>
      <c r="C325" s="309">
        <v>42268</v>
      </c>
      <c r="D325" s="308" t="s">
        <v>1579</v>
      </c>
      <c r="E325" s="307">
        <v>1</v>
      </c>
      <c r="F325" s="311">
        <v>400</v>
      </c>
      <c r="G325" s="303">
        <f t="shared" si="5"/>
        <v>56</v>
      </c>
      <c r="H325" s="305"/>
      <c r="I325" s="305"/>
    </row>
    <row r="326" spans="1:9" x14ac:dyDescent="0.2">
      <c r="A326" s="310" t="s">
        <v>1362</v>
      </c>
      <c r="B326" s="310" t="s">
        <v>1365</v>
      </c>
      <c r="C326" s="309">
        <v>42592</v>
      </c>
      <c r="D326" s="308" t="s">
        <v>2809</v>
      </c>
      <c r="E326" s="307">
        <v>1</v>
      </c>
      <c r="F326" s="311">
        <v>400</v>
      </c>
      <c r="G326" s="303">
        <f t="shared" si="5"/>
        <v>56</v>
      </c>
      <c r="H326" s="305"/>
      <c r="I326" s="305"/>
    </row>
    <row r="327" spans="1:9" x14ac:dyDescent="0.2">
      <c r="A327" s="310" t="s">
        <v>1359</v>
      </c>
      <c r="B327" s="310" t="s">
        <v>1363</v>
      </c>
      <c r="C327" s="309">
        <v>42125</v>
      </c>
      <c r="D327" s="308" t="s">
        <v>1476</v>
      </c>
      <c r="E327" s="307">
        <v>1</v>
      </c>
      <c r="F327" s="311">
        <v>400</v>
      </c>
      <c r="G327" s="307">
        <v>56</v>
      </c>
      <c r="H327" s="305"/>
      <c r="I327" s="305"/>
    </row>
    <row r="328" spans="1:9" x14ac:dyDescent="0.2">
      <c r="A328" s="310" t="s">
        <v>1359</v>
      </c>
      <c r="B328" s="310" t="s">
        <v>1363</v>
      </c>
      <c r="C328" s="309">
        <v>42424</v>
      </c>
      <c r="D328" s="308" t="s">
        <v>2972</v>
      </c>
      <c r="E328" s="307">
        <v>1</v>
      </c>
      <c r="F328" s="311">
        <v>400</v>
      </c>
      <c r="G328" s="307">
        <v>56</v>
      </c>
      <c r="H328" s="305"/>
      <c r="I328" s="305"/>
    </row>
    <row r="329" spans="1:9" x14ac:dyDescent="0.2">
      <c r="A329" s="310" t="s">
        <v>1359</v>
      </c>
      <c r="B329" s="310" t="s">
        <v>1363</v>
      </c>
      <c r="C329" s="309">
        <v>42424</v>
      </c>
      <c r="D329" s="308" t="s">
        <v>2975</v>
      </c>
      <c r="E329" s="307">
        <v>1</v>
      </c>
      <c r="F329" s="311">
        <v>400</v>
      </c>
      <c r="G329" s="307">
        <v>56</v>
      </c>
      <c r="H329" s="305"/>
      <c r="I329" s="305"/>
    </row>
    <row r="330" spans="1:9" x14ac:dyDescent="0.2">
      <c r="A330" s="310" t="s">
        <v>1358</v>
      </c>
      <c r="B330" s="310" t="s">
        <v>1375</v>
      </c>
      <c r="C330" s="309">
        <v>42037</v>
      </c>
      <c r="D330" s="308" t="s">
        <v>1465</v>
      </c>
      <c r="E330" s="307">
        <v>1</v>
      </c>
      <c r="F330" s="311">
        <v>300</v>
      </c>
      <c r="G330" s="307">
        <v>56</v>
      </c>
      <c r="H330" s="305"/>
      <c r="I330" s="305"/>
    </row>
    <row r="331" spans="1:9" x14ac:dyDescent="0.2">
      <c r="A331" s="310" t="s">
        <v>1358</v>
      </c>
      <c r="B331" s="310" t="s">
        <v>1375</v>
      </c>
      <c r="C331" s="309">
        <v>42037</v>
      </c>
      <c r="D331" s="308" t="s">
        <v>1447</v>
      </c>
      <c r="E331" s="307">
        <v>1</v>
      </c>
      <c r="F331" s="311">
        <v>300</v>
      </c>
      <c r="G331" s="307">
        <v>56</v>
      </c>
      <c r="H331" s="305"/>
      <c r="I331" s="305"/>
    </row>
    <row r="332" spans="1:9" x14ac:dyDescent="0.2">
      <c r="A332" s="310" t="s">
        <v>1358</v>
      </c>
      <c r="B332" s="310" t="s">
        <v>1375</v>
      </c>
      <c r="C332" s="309">
        <v>42289</v>
      </c>
      <c r="D332" s="308" t="s">
        <v>1428</v>
      </c>
      <c r="E332" s="307">
        <v>1</v>
      </c>
      <c r="F332" s="311">
        <v>300</v>
      </c>
      <c r="G332" s="307">
        <v>56</v>
      </c>
      <c r="H332" s="305"/>
      <c r="I332" s="305"/>
    </row>
    <row r="333" spans="1:9" x14ac:dyDescent="0.2">
      <c r="A333" s="310" t="s">
        <v>1358</v>
      </c>
      <c r="B333" s="310" t="s">
        <v>1375</v>
      </c>
      <c r="C333" s="309">
        <v>42460</v>
      </c>
      <c r="D333" s="308" t="s">
        <v>2049</v>
      </c>
      <c r="E333" s="307">
        <v>1</v>
      </c>
      <c r="F333" s="311">
        <v>320</v>
      </c>
      <c r="G333" s="307">
        <v>56</v>
      </c>
      <c r="H333" s="305"/>
      <c r="I333" s="305"/>
    </row>
    <row r="334" spans="1:9" x14ac:dyDescent="0.2">
      <c r="A334" s="310" t="s">
        <v>1358</v>
      </c>
      <c r="B334" s="310" t="s">
        <v>1375</v>
      </c>
      <c r="C334" s="309">
        <v>42460</v>
      </c>
      <c r="D334" s="308" t="s">
        <v>3009</v>
      </c>
      <c r="E334" s="307">
        <v>1</v>
      </c>
      <c r="F334" s="311">
        <v>320</v>
      </c>
      <c r="G334" s="307">
        <v>56</v>
      </c>
      <c r="H334" s="305"/>
      <c r="I334" s="305"/>
    </row>
    <row r="335" spans="1:9" x14ac:dyDescent="0.2">
      <c r="A335" s="310" t="s">
        <v>1319</v>
      </c>
      <c r="B335" s="310" t="s">
        <v>1371</v>
      </c>
      <c r="C335" s="309">
        <v>42258</v>
      </c>
      <c r="D335" s="308" t="s">
        <v>2005</v>
      </c>
      <c r="E335" s="307">
        <v>1</v>
      </c>
      <c r="F335" s="311">
        <v>100</v>
      </c>
      <c r="G335" s="306">
        <f>53+(4)</f>
        <v>57</v>
      </c>
      <c r="H335" s="305"/>
      <c r="I335" s="305"/>
    </row>
    <row r="336" spans="1:9" x14ac:dyDescent="0.2">
      <c r="A336" s="310" t="s">
        <v>1319</v>
      </c>
      <c r="B336" s="310" t="s">
        <v>1373</v>
      </c>
      <c r="C336" s="309">
        <v>42415</v>
      </c>
      <c r="D336" s="308" t="s">
        <v>2066</v>
      </c>
      <c r="E336" s="307">
        <v>1</v>
      </c>
      <c r="F336" s="311">
        <v>120</v>
      </c>
      <c r="G336" s="306">
        <f>64-(7)</f>
        <v>57</v>
      </c>
      <c r="H336" s="305"/>
      <c r="I336" s="305"/>
    </row>
    <row r="337" spans="1:9" x14ac:dyDescent="0.2">
      <c r="A337" s="310" t="s">
        <v>1319</v>
      </c>
      <c r="B337" s="310" t="s">
        <v>1373</v>
      </c>
      <c r="C337" s="309">
        <v>42415</v>
      </c>
      <c r="D337" s="308" t="s">
        <v>2065</v>
      </c>
      <c r="E337" s="307">
        <v>1</v>
      </c>
      <c r="F337" s="311">
        <v>120</v>
      </c>
      <c r="G337" s="306">
        <f>64-(7)</f>
        <v>57</v>
      </c>
      <c r="H337" s="305"/>
      <c r="I337" s="305"/>
    </row>
    <row r="338" spans="1:9" x14ac:dyDescent="0.2">
      <c r="A338" s="310" t="s">
        <v>1313</v>
      </c>
      <c r="B338" s="310" t="s">
        <v>1373</v>
      </c>
      <c r="C338" s="309">
        <v>42105</v>
      </c>
      <c r="D338" s="308" t="s">
        <v>1986</v>
      </c>
      <c r="E338" s="307">
        <v>1</v>
      </c>
      <c r="F338" s="311">
        <v>200</v>
      </c>
      <c r="G338" s="306">
        <f>64-(7)</f>
        <v>57</v>
      </c>
      <c r="H338" s="305"/>
      <c r="I338" s="305"/>
    </row>
    <row r="339" spans="1:9" x14ac:dyDescent="0.2">
      <c r="A339" s="310" t="s">
        <v>1313</v>
      </c>
      <c r="B339" s="310" t="s">
        <v>1373</v>
      </c>
      <c r="C339" s="309">
        <v>42105</v>
      </c>
      <c r="D339" s="308" t="s">
        <v>1638</v>
      </c>
      <c r="E339" s="307">
        <v>1</v>
      </c>
      <c r="F339" s="311">
        <v>200</v>
      </c>
      <c r="G339" s="306">
        <f>64-(7)</f>
        <v>57</v>
      </c>
      <c r="H339" s="305"/>
      <c r="I339" s="305"/>
    </row>
    <row r="340" spans="1:9" x14ac:dyDescent="0.2">
      <c r="A340" s="310" t="s">
        <v>1372</v>
      </c>
      <c r="B340" s="310" t="s">
        <v>1365</v>
      </c>
      <c r="C340" s="309">
        <v>42056</v>
      </c>
      <c r="D340" s="308" t="s">
        <v>1955</v>
      </c>
      <c r="E340" s="307">
        <v>1</v>
      </c>
      <c r="F340" s="311">
        <v>300</v>
      </c>
      <c r="G340" s="303">
        <f>69-(12)</f>
        <v>57</v>
      </c>
      <c r="H340" s="305"/>
      <c r="I340" s="305"/>
    </row>
    <row r="341" spans="1:9" x14ac:dyDescent="0.2">
      <c r="A341" s="310" t="s">
        <v>1372</v>
      </c>
      <c r="B341" s="310" t="s">
        <v>1365</v>
      </c>
      <c r="C341" s="309">
        <v>42056</v>
      </c>
      <c r="D341" s="308" t="s">
        <v>1645</v>
      </c>
      <c r="E341" s="307">
        <v>1</v>
      </c>
      <c r="F341" s="311">
        <v>300</v>
      </c>
      <c r="G341" s="303">
        <f>69-(12)</f>
        <v>57</v>
      </c>
      <c r="H341" s="305"/>
      <c r="I341" s="305"/>
    </row>
    <row r="342" spans="1:9" x14ac:dyDescent="0.2">
      <c r="A342" s="310" t="s">
        <v>1372</v>
      </c>
      <c r="B342" s="310" t="s">
        <v>1365</v>
      </c>
      <c r="C342" s="309">
        <v>42056</v>
      </c>
      <c r="D342" s="308" t="s">
        <v>1547</v>
      </c>
      <c r="E342" s="307">
        <v>1</v>
      </c>
      <c r="F342" s="311">
        <v>300</v>
      </c>
      <c r="G342" s="303">
        <f>69-(12)</f>
        <v>57</v>
      </c>
      <c r="H342" s="305"/>
      <c r="I342" s="305"/>
    </row>
    <row r="343" spans="1:9" x14ac:dyDescent="0.2">
      <c r="A343" s="310" t="s">
        <v>1370</v>
      </c>
      <c r="B343" s="310" t="s">
        <v>1361</v>
      </c>
      <c r="C343" s="309">
        <v>42036</v>
      </c>
      <c r="D343" s="308" t="s">
        <v>1832</v>
      </c>
      <c r="E343" s="307">
        <v>1</v>
      </c>
      <c r="F343" s="311">
        <v>500</v>
      </c>
      <c r="G343" s="303">
        <f>62-(5)</f>
        <v>57</v>
      </c>
      <c r="H343" s="305"/>
      <c r="I343" s="305"/>
    </row>
    <row r="344" spans="1:9" x14ac:dyDescent="0.2">
      <c r="A344" s="310" t="s">
        <v>1370</v>
      </c>
      <c r="B344" s="310" t="s">
        <v>1361</v>
      </c>
      <c r="C344" s="309">
        <v>42139</v>
      </c>
      <c r="D344" s="308" t="s">
        <v>1905</v>
      </c>
      <c r="E344" s="307">
        <v>1</v>
      </c>
      <c r="F344" s="311">
        <v>500</v>
      </c>
      <c r="G344" s="303">
        <f>62-(5)</f>
        <v>57</v>
      </c>
      <c r="H344" s="305"/>
      <c r="I344" s="305"/>
    </row>
    <row r="345" spans="1:9" x14ac:dyDescent="0.2">
      <c r="A345" s="310" t="s">
        <v>1370</v>
      </c>
      <c r="B345" s="310" t="s">
        <v>1361</v>
      </c>
      <c r="C345" s="309">
        <v>42447</v>
      </c>
      <c r="D345" s="308" t="s">
        <v>2379</v>
      </c>
      <c r="E345" s="307">
        <v>1</v>
      </c>
      <c r="F345" s="311">
        <v>500</v>
      </c>
      <c r="G345" s="303">
        <f>62-(5)</f>
        <v>57</v>
      </c>
      <c r="H345" s="305"/>
      <c r="I345" s="305"/>
    </row>
    <row r="346" spans="1:9" x14ac:dyDescent="0.2">
      <c r="A346" s="310" t="s">
        <v>1370</v>
      </c>
      <c r="B346" s="310" t="s">
        <v>1361</v>
      </c>
      <c r="C346" s="309">
        <v>42447</v>
      </c>
      <c r="D346" s="308" t="s">
        <v>2402</v>
      </c>
      <c r="E346" s="307">
        <v>1</v>
      </c>
      <c r="F346" s="311">
        <v>500</v>
      </c>
      <c r="G346" s="303">
        <f>62-(5)</f>
        <v>57</v>
      </c>
      <c r="H346" s="305"/>
      <c r="I346" s="305"/>
    </row>
    <row r="347" spans="1:9" x14ac:dyDescent="0.2">
      <c r="A347" s="310" t="s">
        <v>1368</v>
      </c>
      <c r="B347" s="310" t="s">
        <v>1367</v>
      </c>
      <c r="C347" s="309">
        <v>42170</v>
      </c>
      <c r="D347" s="308" t="s">
        <v>1791</v>
      </c>
      <c r="E347" s="307">
        <v>1</v>
      </c>
      <c r="F347" s="311">
        <v>200</v>
      </c>
      <c r="G347" s="306">
        <v>57</v>
      </c>
      <c r="H347" s="305"/>
      <c r="I347" s="305"/>
    </row>
    <row r="348" spans="1:9" x14ac:dyDescent="0.2">
      <c r="A348" s="310" t="s">
        <v>1368</v>
      </c>
      <c r="B348" s="310" t="s">
        <v>1371</v>
      </c>
      <c r="C348" s="309">
        <v>42323</v>
      </c>
      <c r="D348" s="308" t="s">
        <v>1892</v>
      </c>
      <c r="E348" s="307">
        <v>1</v>
      </c>
      <c r="F348" s="311">
        <v>200</v>
      </c>
      <c r="G348" s="306">
        <f t="shared" ref="G348:G353" si="6">53+(4)</f>
        <v>57</v>
      </c>
      <c r="H348" s="305"/>
      <c r="I348" s="305"/>
    </row>
    <row r="349" spans="1:9" x14ac:dyDescent="0.2">
      <c r="A349" s="310" t="s">
        <v>1368</v>
      </c>
      <c r="B349" s="310" t="s">
        <v>1371</v>
      </c>
      <c r="C349" s="309">
        <v>42323</v>
      </c>
      <c r="D349" s="308" t="s">
        <v>1889</v>
      </c>
      <c r="E349" s="307">
        <v>1</v>
      </c>
      <c r="F349" s="311">
        <v>200</v>
      </c>
      <c r="G349" s="306">
        <f t="shared" si="6"/>
        <v>57</v>
      </c>
      <c r="H349" s="305"/>
      <c r="I349" s="305"/>
    </row>
    <row r="350" spans="1:9" x14ac:dyDescent="0.2">
      <c r="A350" s="310" t="s">
        <v>1368</v>
      </c>
      <c r="B350" s="310" t="s">
        <v>1371</v>
      </c>
      <c r="C350" s="309">
        <v>42323</v>
      </c>
      <c r="D350" s="308" t="s">
        <v>1884</v>
      </c>
      <c r="E350" s="307">
        <v>1</v>
      </c>
      <c r="F350" s="311">
        <v>200</v>
      </c>
      <c r="G350" s="306">
        <f t="shared" si="6"/>
        <v>57</v>
      </c>
      <c r="H350" s="305"/>
      <c r="I350" s="305"/>
    </row>
    <row r="351" spans="1:9" x14ac:dyDescent="0.2">
      <c r="A351" s="310" t="s">
        <v>1368</v>
      </c>
      <c r="B351" s="310" t="s">
        <v>1371</v>
      </c>
      <c r="C351" s="309">
        <v>42323</v>
      </c>
      <c r="D351" s="308" t="s">
        <v>1871</v>
      </c>
      <c r="E351" s="307">
        <v>1</v>
      </c>
      <c r="F351" s="311">
        <v>200</v>
      </c>
      <c r="G351" s="306">
        <f t="shared" si="6"/>
        <v>57</v>
      </c>
      <c r="H351" s="305"/>
      <c r="I351" s="305"/>
    </row>
    <row r="352" spans="1:9" x14ac:dyDescent="0.2">
      <c r="A352" s="310" t="s">
        <v>1368</v>
      </c>
      <c r="B352" s="310" t="s">
        <v>1371</v>
      </c>
      <c r="C352" s="309">
        <v>42340</v>
      </c>
      <c r="D352" s="308" t="s">
        <v>1705</v>
      </c>
      <c r="E352" s="307">
        <v>1</v>
      </c>
      <c r="F352" s="311">
        <v>200</v>
      </c>
      <c r="G352" s="306">
        <f t="shared" si="6"/>
        <v>57</v>
      </c>
      <c r="H352" s="305"/>
      <c r="I352" s="305"/>
    </row>
    <row r="353" spans="1:9" x14ac:dyDescent="0.2">
      <c r="A353" s="310" t="s">
        <v>1368</v>
      </c>
      <c r="B353" s="310" t="s">
        <v>1371</v>
      </c>
      <c r="C353" s="309">
        <v>42340</v>
      </c>
      <c r="D353" s="308" t="s">
        <v>1611</v>
      </c>
      <c r="E353" s="307">
        <v>1</v>
      </c>
      <c r="F353" s="311">
        <v>200</v>
      </c>
      <c r="G353" s="306">
        <f t="shared" si="6"/>
        <v>57</v>
      </c>
      <c r="H353" s="305"/>
      <c r="I353" s="305"/>
    </row>
    <row r="354" spans="1:9" x14ac:dyDescent="0.2">
      <c r="A354" s="310" t="s">
        <v>1368</v>
      </c>
      <c r="B354" s="310" t="s">
        <v>1367</v>
      </c>
      <c r="C354" s="309">
        <v>42439</v>
      </c>
      <c r="D354" s="308" t="s">
        <v>2466</v>
      </c>
      <c r="E354" s="307">
        <v>1</v>
      </c>
      <c r="F354" s="311">
        <v>200</v>
      </c>
      <c r="G354" s="306">
        <v>57</v>
      </c>
      <c r="H354" s="305"/>
      <c r="I354" s="305"/>
    </row>
    <row r="355" spans="1:9" x14ac:dyDescent="0.2">
      <c r="A355" s="310" t="s">
        <v>1368</v>
      </c>
      <c r="B355" s="310" t="s">
        <v>1367</v>
      </c>
      <c r="C355" s="309">
        <v>42461</v>
      </c>
      <c r="D355" s="308" t="s">
        <v>2490</v>
      </c>
      <c r="E355" s="307">
        <v>1</v>
      </c>
      <c r="F355" s="311">
        <v>200</v>
      </c>
      <c r="G355" s="306">
        <v>57</v>
      </c>
      <c r="H355" s="305"/>
      <c r="I355" s="305"/>
    </row>
    <row r="356" spans="1:9" x14ac:dyDescent="0.2">
      <c r="A356" s="310" t="s">
        <v>1368</v>
      </c>
      <c r="B356" s="310" t="s">
        <v>1367</v>
      </c>
      <c r="C356" s="309">
        <v>42490</v>
      </c>
      <c r="D356" s="308" t="s">
        <v>2518</v>
      </c>
      <c r="E356" s="307">
        <v>1</v>
      </c>
      <c r="F356" s="311">
        <v>200</v>
      </c>
      <c r="G356" s="306">
        <v>57</v>
      </c>
      <c r="H356" s="305"/>
      <c r="I356" s="305"/>
    </row>
    <row r="357" spans="1:9" x14ac:dyDescent="0.2">
      <c r="A357" s="310" t="s">
        <v>1368</v>
      </c>
      <c r="B357" s="310" t="s">
        <v>1367</v>
      </c>
      <c r="C357" s="309">
        <v>42490</v>
      </c>
      <c r="D357" s="308" t="s">
        <v>2529</v>
      </c>
      <c r="E357" s="307">
        <v>1</v>
      </c>
      <c r="F357" s="311">
        <v>200</v>
      </c>
      <c r="G357" s="306">
        <v>57</v>
      </c>
      <c r="H357" s="305"/>
      <c r="I357" s="305"/>
    </row>
    <row r="358" spans="1:9" x14ac:dyDescent="0.2">
      <c r="A358" s="310" t="s">
        <v>1368</v>
      </c>
      <c r="B358" s="310" t="s">
        <v>1367</v>
      </c>
      <c r="C358" s="309">
        <v>42505</v>
      </c>
      <c r="D358" s="308" t="s">
        <v>2532</v>
      </c>
      <c r="E358" s="307">
        <v>1</v>
      </c>
      <c r="F358" s="311">
        <v>200</v>
      </c>
      <c r="G358" s="306">
        <v>57</v>
      </c>
      <c r="H358" s="305"/>
      <c r="I358" s="305"/>
    </row>
    <row r="359" spans="1:9" x14ac:dyDescent="0.2">
      <c r="A359" s="310" t="s">
        <v>1368</v>
      </c>
      <c r="B359" s="310" t="s">
        <v>1367</v>
      </c>
      <c r="C359" s="309">
        <v>42593</v>
      </c>
      <c r="D359" s="308" t="s">
        <v>2626</v>
      </c>
      <c r="E359" s="307">
        <v>1</v>
      </c>
      <c r="F359" s="311">
        <v>200</v>
      </c>
      <c r="G359" s="306">
        <v>57</v>
      </c>
      <c r="H359" s="305"/>
      <c r="I359" s="305"/>
    </row>
    <row r="360" spans="1:9" x14ac:dyDescent="0.2">
      <c r="A360" s="310" t="s">
        <v>1364</v>
      </c>
      <c r="B360" s="310" t="s">
        <v>1367</v>
      </c>
      <c r="C360" s="309">
        <v>42091</v>
      </c>
      <c r="D360" s="308" t="s">
        <v>1666</v>
      </c>
      <c r="E360" s="307">
        <v>1</v>
      </c>
      <c r="F360" s="311">
        <v>600</v>
      </c>
      <c r="G360" s="306">
        <v>57</v>
      </c>
      <c r="H360" s="305"/>
      <c r="I360" s="305"/>
    </row>
    <row r="361" spans="1:9" x14ac:dyDescent="0.2">
      <c r="A361" s="310" t="s">
        <v>1364</v>
      </c>
      <c r="B361" s="310" t="s">
        <v>1371</v>
      </c>
      <c r="C361" s="309">
        <v>42430</v>
      </c>
      <c r="D361" s="308" t="s">
        <v>2703</v>
      </c>
      <c r="E361" s="307">
        <v>1</v>
      </c>
      <c r="F361" s="311">
        <v>650</v>
      </c>
      <c r="G361" s="306">
        <f>53+(4)</f>
        <v>57</v>
      </c>
      <c r="H361" s="305"/>
      <c r="I361" s="305"/>
    </row>
    <row r="362" spans="1:9" x14ac:dyDescent="0.2">
      <c r="A362" s="310" t="s">
        <v>1362</v>
      </c>
      <c r="B362" s="310" t="s">
        <v>1365</v>
      </c>
      <c r="C362" s="309">
        <v>42592</v>
      </c>
      <c r="D362" s="308" t="s">
        <v>2818</v>
      </c>
      <c r="E362" s="307">
        <v>1</v>
      </c>
      <c r="F362" s="311">
        <v>400</v>
      </c>
      <c r="G362" s="303">
        <f>69-(12)</f>
        <v>57</v>
      </c>
      <c r="H362" s="305"/>
      <c r="I362" s="305"/>
    </row>
    <row r="363" spans="1:9" x14ac:dyDescent="0.2">
      <c r="A363" s="310" t="s">
        <v>1362</v>
      </c>
      <c r="B363" s="310" t="s">
        <v>1365</v>
      </c>
      <c r="C363" s="309">
        <v>42654</v>
      </c>
      <c r="D363" s="308" t="s">
        <v>2888</v>
      </c>
      <c r="E363" s="307">
        <v>1</v>
      </c>
      <c r="F363" s="311">
        <v>400</v>
      </c>
      <c r="G363" s="303">
        <f>69-(12)</f>
        <v>57</v>
      </c>
      <c r="H363" s="305"/>
      <c r="I363" s="305"/>
    </row>
    <row r="364" spans="1:9" x14ac:dyDescent="0.2">
      <c r="A364" s="310" t="s">
        <v>1360</v>
      </c>
      <c r="B364" s="310" t="s">
        <v>1371</v>
      </c>
      <c r="C364" s="309">
        <v>42022</v>
      </c>
      <c r="D364" s="308" t="s">
        <v>1431</v>
      </c>
      <c r="E364" s="307">
        <v>1</v>
      </c>
      <c r="F364" s="311">
        <v>250</v>
      </c>
      <c r="G364" s="306">
        <f>53+(4)</f>
        <v>57</v>
      </c>
      <c r="H364" s="305"/>
      <c r="I364" s="305"/>
    </row>
    <row r="365" spans="1:9" x14ac:dyDescent="0.2">
      <c r="A365" s="310" t="s">
        <v>1360</v>
      </c>
      <c r="B365" s="310" t="s">
        <v>1371</v>
      </c>
      <c r="C365" s="309">
        <v>42022</v>
      </c>
      <c r="D365" s="308" t="s">
        <v>1547</v>
      </c>
      <c r="E365" s="307">
        <v>1</v>
      </c>
      <c r="F365" s="311">
        <v>250</v>
      </c>
      <c r="G365" s="306">
        <f>53+(4)</f>
        <v>57</v>
      </c>
      <c r="H365" s="305"/>
      <c r="I365" s="305"/>
    </row>
    <row r="366" spans="1:9" x14ac:dyDescent="0.2">
      <c r="A366" s="310" t="s">
        <v>1359</v>
      </c>
      <c r="B366" s="310" t="s">
        <v>1363</v>
      </c>
      <c r="C366" s="309">
        <v>42064</v>
      </c>
      <c r="D366" s="308" t="s">
        <v>1524</v>
      </c>
      <c r="E366" s="307">
        <v>1</v>
      </c>
      <c r="F366" s="311">
        <v>400</v>
      </c>
      <c r="G366" s="307">
        <v>57</v>
      </c>
      <c r="H366" s="305"/>
      <c r="I366" s="305"/>
    </row>
    <row r="367" spans="1:9" x14ac:dyDescent="0.2">
      <c r="A367" s="310" t="s">
        <v>1359</v>
      </c>
      <c r="B367" s="310" t="s">
        <v>1363</v>
      </c>
      <c r="C367" s="309">
        <v>42064</v>
      </c>
      <c r="D367" s="308" t="s">
        <v>1408</v>
      </c>
      <c r="E367" s="307">
        <v>1</v>
      </c>
      <c r="F367" s="311">
        <v>400</v>
      </c>
      <c r="G367" s="307">
        <v>57</v>
      </c>
      <c r="H367" s="305"/>
      <c r="I367" s="305"/>
    </row>
    <row r="368" spans="1:9" x14ac:dyDescent="0.2">
      <c r="A368" s="310" t="s">
        <v>1358</v>
      </c>
      <c r="B368" s="310" t="s">
        <v>1375</v>
      </c>
      <c r="C368" s="309">
        <v>42460</v>
      </c>
      <c r="D368" s="308" t="s">
        <v>3008</v>
      </c>
      <c r="E368" s="307">
        <v>1</v>
      </c>
      <c r="F368" s="311">
        <v>320</v>
      </c>
      <c r="G368" s="307">
        <v>57</v>
      </c>
      <c r="H368" s="305"/>
      <c r="I368" s="305"/>
    </row>
    <row r="369" spans="1:9" x14ac:dyDescent="0.2">
      <c r="A369" s="310" t="s">
        <v>1319</v>
      </c>
      <c r="B369" s="310" t="s">
        <v>1373</v>
      </c>
      <c r="C369" s="309">
        <v>42084</v>
      </c>
      <c r="D369" s="308" t="s">
        <v>2017</v>
      </c>
      <c r="E369" s="307">
        <v>1</v>
      </c>
      <c r="F369" s="311">
        <v>100</v>
      </c>
      <c r="G369" s="306">
        <f>65-(7)</f>
        <v>58</v>
      </c>
      <c r="H369" s="305"/>
      <c r="I369" s="305"/>
    </row>
    <row r="370" spans="1:9" x14ac:dyDescent="0.2">
      <c r="A370" s="310" t="s">
        <v>1319</v>
      </c>
      <c r="B370" s="310" t="s">
        <v>1371</v>
      </c>
      <c r="C370" s="309">
        <v>42258</v>
      </c>
      <c r="D370" s="308" t="s">
        <v>1457</v>
      </c>
      <c r="E370" s="307">
        <v>1</v>
      </c>
      <c r="F370" s="311">
        <v>100</v>
      </c>
      <c r="G370" s="306">
        <f>54+(4)</f>
        <v>58</v>
      </c>
      <c r="H370" s="305"/>
      <c r="I370" s="305"/>
    </row>
    <row r="371" spans="1:9" x14ac:dyDescent="0.2">
      <c r="A371" s="310" t="s">
        <v>1319</v>
      </c>
      <c r="B371" s="310" t="s">
        <v>1367</v>
      </c>
      <c r="C371" s="309">
        <v>42332</v>
      </c>
      <c r="D371" s="308" t="s">
        <v>1746</v>
      </c>
      <c r="E371" s="307">
        <v>1</v>
      </c>
      <c r="F371" s="311">
        <v>100</v>
      </c>
      <c r="G371" s="306">
        <v>58</v>
      </c>
      <c r="H371" s="305"/>
      <c r="I371" s="305"/>
    </row>
    <row r="372" spans="1:9" x14ac:dyDescent="0.2">
      <c r="A372" s="310" t="s">
        <v>1319</v>
      </c>
      <c r="B372" s="310" t="s">
        <v>1367</v>
      </c>
      <c r="C372" s="309">
        <v>42332</v>
      </c>
      <c r="D372" s="308" t="s">
        <v>1830</v>
      </c>
      <c r="E372" s="307">
        <v>1</v>
      </c>
      <c r="F372" s="311">
        <v>100</v>
      </c>
      <c r="G372" s="306">
        <v>58</v>
      </c>
      <c r="H372" s="305"/>
      <c r="I372" s="305"/>
    </row>
    <row r="373" spans="1:9" x14ac:dyDescent="0.2">
      <c r="A373" s="310" t="s">
        <v>1319</v>
      </c>
      <c r="B373" s="310" t="s">
        <v>1367</v>
      </c>
      <c r="C373" s="309">
        <v>42332</v>
      </c>
      <c r="D373" s="308" t="s">
        <v>1703</v>
      </c>
      <c r="E373" s="307">
        <v>1</v>
      </c>
      <c r="F373" s="311">
        <v>100</v>
      </c>
      <c r="G373" s="306">
        <v>58</v>
      </c>
      <c r="H373" s="305"/>
      <c r="I373" s="305"/>
    </row>
    <row r="374" spans="1:9" x14ac:dyDescent="0.2">
      <c r="A374" s="310" t="s">
        <v>1319</v>
      </c>
      <c r="B374" s="310" t="s">
        <v>1367</v>
      </c>
      <c r="C374" s="309">
        <v>42332</v>
      </c>
      <c r="D374" s="308" t="s">
        <v>1451</v>
      </c>
      <c r="E374" s="307">
        <v>1</v>
      </c>
      <c r="F374" s="311">
        <v>100</v>
      </c>
      <c r="G374" s="306">
        <v>58</v>
      </c>
      <c r="H374" s="305"/>
      <c r="I374" s="305"/>
    </row>
    <row r="375" spans="1:9" x14ac:dyDescent="0.2">
      <c r="A375" s="310" t="s">
        <v>1319</v>
      </c>
      <c r="B375" s="310" t="s">
        <v>1373</v>
      </c>
      <c r="C375" s="309">
        <v>42415</v>
      </c>
      <c r="D375" s="308" t="s">
        <v>2046</v>
      </c>
      <c r="E375" s="307">
        <v>1</v>
      </c>
      <c r="F375" s="311">
        <v>120</v>
      </c>
      <c r="G375" s="306">
        <f>65-(7)</f>
        <v>58</v>
      </c>
      <c r="H375" s="305"/>
      <c r="I375" s="305"/>
    </row>
    <row r="376" spans="1:9" x14ac:dyDescent="0.2">
      <c r="A376" s="310" t="s">
        <v>1313</v>
      </c>
      <c r="B376" s="310" t="s">
        <v>1373</v>
      </c>
      <c r="C376" s="309">
        <v>42105</v>
      </c>
      <c r="D376" s="308" t="s">
        <v>1566</v>
      </c>
      <c r="E376" s="307">
        <v>1</v>
      </c>
      <c r="F376" s="311">
        <v>200</v>
      </c>
      <c r="G376" s="306">
        <f>65-(7)</f>
        <v>58</v>
      </c>
      <c r="H376" s="305"/>
      <c r="I376" s="305"/>
    </row>
    <row r="377" spans="1:9" x14ac:dyDescent="0.2">
      <c r="A377" s="310" t="s">
        <v>1313</v>
      </c>
      <c r="B377" s="310" t="s">
        <v>1361</v>
      </c>
      <c r="C377" s="309">
        <v>42177</v>
      </c>
      <c r="D377" s="308" t="s">
        <v>1393</v>
      </c>
      <c r="E377" s="307">
        <v>1</v>
      </c>
      <c r="F377" s="311">
        <v>200</v>
      </c>
      <c r="G377" s="303">
        <f>63-(5)</f>
        <v>58</v>
      </c>
      <c r="H377" s="305"/>
      <c r="I377" s="305"/>
    </row>
    <row r="378" spans="1:9" x14ac:dyDescent="0.2">
      <c r="A378" s="310" t="s">
        <v>1374</v>
      </c>
      <c r="B378" s="310" t="s">
        <v>1369</v>
      </c>
      <c r="C378" s="309">
        <v>42227</v>
      </c>
      <c r="D378" s="308" t="s">
        <v>1464</v>
      </c>
      <c r="E378" s="307">
        <v>1</v>
      </c>
      <c r="F378" s="311">
        <v>300</v>
      </c>
      <c r="G378" s="307">
        <v>58</v>
      </c>
      <c r="H378" s="305"/>
      <c r="I378" s="305"/>
    </row>
    <row r="379" spans="1:9" x14ac:dyDescent="0.2">
      <c r="A379" s="310" t="s">
        <v>1374</v>
      </c>
      <c r="B379" s="310" t="s">
        <v>1369</v>
      </c>
      <c r="C379" s="309">
        <v>42227</v>
      </c>
      <c r="D379" s="308" t="s">
        <v>1741</v>
      </c>
      <c r="E379" s="307">
        <v>1</v>
      </c>
      <c r="F379" s="311">
        <v>300</v>
      </c>
      <c r="G379" s="307">
        <v>58</v>
      </c>
      <c r="H379" s="305"/>
      <c r="I379" s="305"/>
    </row>
    <row r="380" spans="1:9" x14ac:dyDescent="0.2">
      <c r="A380" s="310" t="s">
        <v>1374</v>
      </c>
      <c r="B380" s="310" t="s">
        <v>1369</v>
      </c>
      <c r="C380" s="309">
        <v>42531</v>
      </c>
      <c r="D380" s="308" t="s">
        <v>2254</v>
      </c>
      <c r="E380" s="307">
        <v>1</v>
      </c>
      <c r="F380" s="311">
        <v>320</v>
      </c>
      <c r="G380" s="307">
        <v>58</v>
      </c>
      <c r="H380" s="305"/>
      <c r="I380" s="305"/>
    </row>
    <row r="381" spans="1:9" x14ac:dyDescent="0.2">
      <c r="A381" s="310" t="s">
        <v>1374</v>
      </c>
      <c r="B381" s="310" t="s">
        <v>1369</v>
      </c>
      <c r="C381" s="309">
        <v>42531</v>
      </c>
      <c r="D381" s="308" t="s">
        <v>2249</v>
      </c>
      <c r="E381" s="307">
        <v>1</v>
      </c>
      <c r="F381" s="311">
        <v>320</v>
      </c>
      <c r="G381" s="307">
        <v>58</v>
      </c>
      <c r="H381" s="305"/>
      <c r="I381" s="305"/>
    </row>
    <row r="382" spans="1:9" x14ac:dyDescent="0.2">
      <c r="A382" s="310" t="s">
        <v>1372</v>
      </c>
      <c r="B382" s="310" t="s">
        <v>1363</v>
      </c>
      <c r="C382" s="309">
        <v>42685</v>
      </c>
      <c r="D382" s="308" t="s">
        <v>2295</v>
      </c>
      <c r="E382" s="307">
        <v>1</v>
      </c>
      <c r="F382" s="311">
        <v>310</v>
      </c>
      <c r="G382" s="307">
        <v>58</v>
      </c>
      <c r="H382" s="305"/>
      <c r="I382" s="305"/>
    </row>
    <row r="383" spans="1:9" x14ac:dyDescent="0.2">
      <c r="A383" s="310" t="s">
        <v>1370</v>
      </c>
      <c r="B383" s="310" t="s">
        <v>1361</v>
      </c>
      <c r="C383" s="309">
        <v>42036</v>
      </c>
      <c r="D383" s="308" t="s">
        <v>1724</v>
      </c>
      <c r="E383" s="307">
        <v>1</v>
      </c>
      <c r="F383" s="311">
        <v>500</v>
      </c>
      <c r="G383" s="303">
        <f>63-(5)</f>
        <v>58</v>
      </c>
      <c r="H383" s="305"/>
      <c r="I383" s="305"/>
    </row>
    <row r="384" spans="1:9" x14ac:dyDescent="0.2">
      <c r="A384" s="310" t="s">
        <v>1370</v>
      </c>
      <c r="B384" s="310" t="s">
        <v>1361</v>
      </c>
      <c r="C384" s="309">
        <v>42447</v>
      </c>
      <c r="D384" s="308" t="s">
        <v>2396</v>
      </c>
      <c r="E384" s="307">
        <v>1</v>
      </c>
      <c r="F384" s="311">
        <v>500</v>
      </c>
      <c r="G384" s="303">
        <f>63-(5)</f>
        <v>58</v>
      </c>
      <c r="H384" s="305"/>
      <c r="I384" s="305"/>
    </row>
    <row r="385" spans="1:9" x14ac:dyDescent="0.2">
      <c r="A385" s="310" t="s">
        <v>1370</v>
      </c>
      <c r="B385" s="310" t="s">
        <v>1373</v>
      </c>
      <c r="C385" s="309">
        <v>42658</v>
      </c>
      <c r="D385" s="308" t="s">
        <v>2335</v>
      </c>
      <c r="E385" s="307">
        <v>1</v>
      </c>
      <c r="F385" s="311">
        <v>500</v>
      </c>
      <c r="G385" s="306">
        <f>65-(7)</f>
        <v>58</v>
      </c>
      <c r="H385" s="305"/>
      <c r="I385" s="305"/>
    </row>
    <row r="386" spans="1:9" x14ac:dyDescent="0.2">
      <c r="A386" s="310" t="s">
        <v>1368</v>
      </c>
      <c r="B386" s="310" t="s">
        <v>1367</v>
      </c>
      <c r="C386" s="309">
        <v>42068</v>
      </c>
      <c r="D386" s="308" t="s">
        <v>1462</v>
      </c>
      <c r="E386" s="307">
        <v>1</v>
      </c>
      <c r="F386" s="311">
        <v>200</v>
      </c>
      <c r="G386" s="306">
        <v>58</v>
      </c>
      <c r="H386" s="305"/>
      <c r="I386" s="305"/>
    </row>
    <row r="387" spans="1:9" x14ac:dyDescent="0.2">
      <c r="A387" s="310" t="s">
        <v>1368</v>
      </c>
      <c r="B387" s="310" t="s">
        <v>1367</v>
      </c>
      <c r="C387" s="309">
        <v>42170</v>
      </c>
      <c r="D387" s="308" t="s">
        <v>1795</v>
      </c>
      <c r="E387" s="307">
        <v>1</v>
      </c>
      <c r="F387" s="311">
        <v>200</v>
      </c>
      <c r="G387" s="306">
        <v>58</v>
      </c>
      <c r="H387" s="305"/>
      <c r="I387" s="305"/>
    </row>
    <row r="388" spans="1:9" x14ac:dyDescent="0.2">
      <c r="A388" s="310" t="s">
        <v>1368</v>
      </c>
      <c r="B388" s="310" t="s">
        <v>1367</v>
      </c>
      <c r="C388" s="309">
        <v>42170</v>
      </c>
      <c r="D388" s="308" t="s">
        <v>1677</v>
      </c>
      <c r="E388" s="307">
        <v>1</v>
      </c>
      <c r="F388" s="311">
        <v>200</v>
      </c>
      <c r="G388" s="306">
        <v>58</v>
      </c>
      <c r="H388" s="305"/>
      <c r="I388" s="305"/>
    </row>
    <row r="389" spans="1:9" x14ac:dyDescent="0.2">
      <c r="A389" s="310" t="s">
        <v>1368</v>
      </c>
      <c r="B389" s="310" t="s">
        <v>1371</v>
      </c>
      <c r="C389" s="309">
        <v>42340</v>
      </c>
      <c r="D389" s="308" t="s">
        <v>1860</v>
      </c>
      <c r="E389" s="307">
        <v>1</v>
      </c>
      <c r="F389" s="311">
        <v>200</v>
      </c>
      <c r="G389" s="306">
        <f>54+(4)</f>
        <v>58</v>
      </c>
      <c r="H389" s="305"/>
      <c r="I389" s="305"/>
    </row>
    <row r="390" spans="1:9" x14ac:dyDescent="0.2">
      <c r="A390" s="310" t="s">
        <v>1368</v>
      </c>
      <c r="B390" s="310" t="s">
        <v>1371</v>
      </c>
      <c r="C390" s="309">
        <v>42340</v>
      </c>
      <c r="D390" s="308" t="s">
        <v>1837</v>
      </c>
      <c r="E390" s="307">
        <v>1</v>
      </c>
      <c r="F390" s="311">
        <v>200</v>
      </c>
      <c r="G390" s="306">
        <f>54+(4)</f>
        <v>58</v>
      </c>
      <c r="H390" s="305"/>
      <c r="I390" s="305"/>
    </row>
    <row r="391" spans="1:9" x14ac:dyDescent="0.2">
      <c r="A391" s="310" t="s">
        <v>1368</v>
      </c>
      <c r="B391" s="310" t="s">
        <v>1371</v>
      </c>
      <c r="C391" s="309">
        <v>42412</v>
      </c>
      <c r="D391" s="308" t="s">
        <v>2060</v>
      </c>
      <c r="E391" s="307">
        <v>1</v>
      </c>
      <c r="F391" s="311">
        <v>200</v>
      </c>
      <c r="G391" s="306">
        <f>54+(4)</f>
        <v>58</v>
      </c>
      <c r="H391" s="305"/>
      <c r="I391" s="305"/>
    </row>
    <row r="392" spans="1:9" x14ac:dyDescent="0.2">
      <c r="A392" s="310" t="s">
        <v>1368</v>
      </c>
      <c r="B392" s="310" t="s">
        <v>1367</v>
      </c>
      <c r="C392" s="309">
        <v>42490</v>
      </c>
      <c r="D392" s="308" t="s">
        <v>2520</v>
      </c>
      <c r="E392" s="307">
        <v>1</v>
      </c>
      <c r="F392" s="311">
        <v>200</v>
      </c>
      <c r="G392" s="306">
        <v>58</v>
      </c>
      <c r="H392" s="305"/>
      <c r="I392" s="305"/>
    </row>
    <row r="393" spans="1:9" x14ac:dyDescent="0.2">
      <c r="A393" s="310" t="s">
        <v>1368</v>
      </c>
      <c r="B393" s="310" t="s">
        <v>1367</v>
      </c>
      <c r="C393" s="309">
        <v>42593</v>
      </c>
      <c r="D393" s="308" t="s">
        <v>2624</v>
      </c>
      <c r="E393" s="307">
        <v>1</v>
      </c>
      <c r="F393" s="311">
        <v>200</v>
      </c>
      <c r="G393" s="306">
        <v>58</v>
      </c>
      <c r="H393" s="305"/>
      <c r="I393" s="305"/>
    </row>
    <row r="394" spans="1:9" x14ac:dyDescent="0.2">
      <c r="A394" s="310" t="s">
        <v>1366</v>
      </c>
      <c r="B394" s="310" t="s">
        <v>1376</v>
      </c>
      <c r="C394" s="309">
        <v>42562</v>
      </c>
      <c r="D394" s="308" t="s">
        <v>2693</v>
      </c>
      <c r="E394" s="307">
        <v>1</v>
      </c>
      <c r="F394" s="311">
        <v>380</v>
      </c>
      <c r="G394" s="306">
        <v>58</v>
      </c>
      <c r="H394" s="305"/>
      <c r="I394" s="305"/>
    </row>
    <row r="395" spans="1:9" x14ac:dyDescent="0.2">
      <c r="A395" s="310" t="s">
        <v>1364</v>
      </c>
      <c r="B395" s="310" t="s">
        <v>1367</v>
      </c>
      <c r="C395" s="309">
        <v>42091</v>
      </c>
      <c r="D395" s="308" t="s">
        <v>1443</v>
      </c>
      <c r="E395" s="307">
        <v>1</v>
      </c>
      <c r="F395" s="311">
        <v>600</v>
      </c>
      <c r="G395" s="306">
        <v>58</v>
      </c>
      <c r="H395" s="305"/>
      <c r="I395" s="305"/>
    </row>
    <row r="396" spans="1:9" x14ac:dyDescent="0.2">
      <c r="A396" s="310" t="s">
        <v>1364</v>
      </c>
      <c r="B396" s="310" t="s">
        <v>1367</v>
      </c>
      <c r="C396" s="309">
        <v>42091</v>
      </c>
      <c r="D396" s="308" t="s">
        <v>1586</v>
      </c>
      <c r="E396" s="307">
        <v>1</v>
      </c>
      <c r="F396" s="311">
        <v>600</v>
      </c>
      <c r="G396" s="306">
        <v>58</v>
      </c>
      <c r="H396" s="305"/>
      <c r="I396" s="305"/>
    </row>
    <row r="397" spans="1:9" x14ac:dyDescent="0.2">
      <c r="A397" s="310" t="s">
        <v>1364</v>
      </c>
      <c r="B397" s="310" t="s">
        <v>1367</v>
      </c>
      <c r="C397" s="309">
        <v>42091</v>
      </c>
      <c r="D397" s="308" t="s">
        <v>1660</v>
      </c>
      <c r="E397" s="307">
        <v>1</v>
      </c>
      <c r="F397" s="311">
        <v>600</v>
      </c>
      <c r="G397" s="306">
        <v>58</v>
      </c>
      <c r="H397" s="305"/>
      <c r="I397" s="305"/>
    </row>
    <row r="398" spans="1:9" x14ac:dyDescent="0.2">
      <c r="A398" s="310" t="s">
        <v>1364</v>
      </c>
      <c r="B398" s="310" t="s">
        <v>1371</v>
      </c>
      <c r="C398" s="309">
        <v>42157</v>
      </c>
      <c r="D398" s="308" t="s">
        <v>1719</v>
      </c>
      <c r="E398" s="307">
        <v>1</v>
      </c>
      <c r="F398" s="311">
        <v>600</v>
      </c>
      <c r="G398" s="306">
        <f>54+(4)</f>
        <v>58</v>
      </c>
      <c r="H398" s="305"/>
      <c r="I398" s="305"/>
    </row>
    <row r="399" spans="1:9" x14ac:dyDescent="0.2">
      <c r="A399" s="310" t="s">
        <v>1364</v>
      </c>
      <c r="B399" s="310" t="s">
        <v>1371</v>
      </c>
      <c r="C399" s="309">
        <v>42157</v>
      </c>
      <c r="D399" s="308" t="s">
        <v>1716</v>
      </c>
      <c r="E399" s="307">
        <v>1</v>
      </c>
      <c r="F399" s="311">
        <v>600</v>
      </c>
      <c r="G399" s="306">
        <f>54+(4)</f>
        <v>58</v>
      </c>
      <c r="H399" s="305"/>
      <c r="I399" s="305"/>
    </row>
    <row r="400" spans="1:9" x14ac:dyDescent="0.2">
      <c r="A400" s="310" t="s">
        <v>1364</v>
      </c>
      <c r="B400" s="310" t="s">
        <v>1371</v>
      </c>
      <c r="C400" s="309">
        <v>42430</v>
      </c>
      <c r="D400" s="308" t="s">
        <v>2733</v>
      </c>
      <c r="E400" s="307">
        <v>1</v>
      </c>
      <c r="F400" s="311">
        <v>650</v>
      </c>
      <c r="G400" s="306">
        <f>54+(4)</f>
        <v>58</v>
      </c>
      <c r="H400" s="305"/>
      <c r="I400" s="305"/>
    </row>
    <row r="401" spans="1:9" x14ac:dyDescent="0.2">
      <c r="A401" s="310" t="s">
        <v>1362</v>
      </c>
      <c r="B401" s="310" t="s">
        <v>1365</v>
      </c>
      <c r="C401" s="309">
        <v>42058</v>
      </c>
      <c r="D401" s="308" t="s">
        <v>1622</v>
      </c>
      <c r="E401" s="307">
        <v>1</v>
      </c>
      <c r="F401" s="311">
        <v>400</v>
      </c>
      <c r="G401" s="303">
        <f>70-(12)</f>
        <v>58</v>
      </c>
      <c r="H401" s="305"/>
      <c r="I401" s="305"/>
    </row>
    <row r="402" spans="1:9" x14ac:dyDescent="0.2">
      <c r="A402" s="310" t="s">
        <v>1362</v>
      </c>
      <c r="B402" s="310" t="s">
        <v>1365</v>
      </c>
      <c r="C402" s="309">
        <v>42592</v>
      </c>
      <c r="D402" s="308" t="s">
        <v>2812</v>
      </c>
      <c r="E402" s="307">
        <v>1</v>
      </c>
      <c r="F402" s="311">
        <v>400</v>
      </c>
      <c r="G402" s="303">
        <f>70-(12)</f>
        <v>58</v>
      </c>
      <c r="H402" s="305"/>
      <c r="I402" s="305"/>
    </row>
    <row r="403" spans="1:9" x14ac:dyDescent="0.2">
      <c r="A403" s="310" t="s">
        <v>1362</v>
      </c>
      <c r="B403" s="310" t="s">
        <v>1365</v>
      </c>
      <c r="C403" s="309">
        <v>42654</v>
      </c>
      <c r="D403" s="308" t="s">
        <v>2862</v>
      </c>
      <c r="E403" s="307">
        <v>1</v>
      </c>
      <c r="F403" s="311">
        <v>400</v>
      </c>
      <c r="G403" s="303">
        <f>70-(12)</f>
        <v>58</v>
      </c>
      <c r="H403" s="305"/>
      <c r="I403" s="305"/>
    </row>
    <row r="404" spans="1:9" x14ac:dyDescent="0.2">
      <c r="A404" s="310" t="s">
        <v>1359</v>
      </c>
      <c r="B404" s="310" t="s">
        <v>1363</v>
      </c>
      <c r="C404" s="309">
        <v>42064</v>
      </c>
      <c r="D404" s="308" t="s">
        <v>1543</v>
      </c>
      <c r="E404" s="307">
        <v>1</v>
      </c>
      <c r="F404" s="311">
        <v>400</v>
      </c>
      <c r="G404" s="307">
        <v>58</v>
      </c>
      <c r="H404" s="305"/>
      <c r="I404" s="305"/>
    </row>
    <row r="405" spans="1:9" x14ac:dyDescent="0.2">
      <c r="A405" s="310" t="s">
        <v>1359</v>
      </c>
      <c r="B405" s="310" t="s">
        <v>1363</v>
      </c>
      <c r="C405" s="309">
        <v>42424</v>
      </c>
      <c r="D405" s="308" t="s">
        <v>2977</v>
      </c>
      <c r="E405" s="307">
        <v>1</v>
      </c>
      <c r="F405" s="311">
        <v>400</v>
      </c>
      <c r="G405" s="307">
        <v>58</v>
      </c>
      <c r="H405" s="305"/>
      <c r="I405" s="305"/>
    </row>
    <row r="406" spans="1:9" x14ac:dyDescent="0.2">
      <c r="A406" s="310" t="s">
        <v>1359</v>
      </c>
      <c r="B406" s="310" t="s">
        <v>1363</v>
      </c>
      <c r="C406" s="309">
        <v>42424</v>
      </c>
      <c r="D406" s="308" t="s">
        <v>2980</v>
      </c>
      <c r="E406" s="307">
        <v>1</v>
      </c>
      <c r="F406" s="311">
        <v>400</v>
      </c>
      <c r="G406" s="307">
        <v>58</v>
      </c>
      <c r="H406" s="305"/>
      <c r="I406" s="305"/>
    </row>
    <row r="407" spans="1:9" x14ac:dyDescent="0.2">
      <c r="A407" s="310" t="s">
        <v>1359</v>
      </c>
      <c r="B407" s="310" t="s">
        <v>1363</v>
      </c>
      <c r="C407" s="309">
        <v>42424</v>
      </c>
      <c r="D407" s="308" t="s">
        <v>2935</v>
      </c>
      <c r="E407" s="307">
        <v>1</v>
      </c>
      <c r="F407" s="311">
        <v>400</v>
      </c>
      <c r="G407" s="307">
        <v>58</v>
      </c>
      <c r="H407" s="305"/>
      <c r="I407" s="305"/>
    </row>
    <row r="408" spans="1:9" x14ac:dyDescent="0.2">
      <c r="A408" s="310" t="s">
        <v>1359</v>
      </c>
      <c r="B408" s="310" t="s">
        <v>1363</v>
      </c>
      <c r="C408" s="309">
        <v>42623</v>
      </c>
      <c r="D408" s="308" t="s">
        <v>3003</v>
      </c>
      <c r="E408" s="307">
        <v>1</v>
      </c>
      <c r="F408" s="311">
        <v>400</v>
      </c>
      <c r="G408" s="307">
        <v>58</v>
      </c>
      <c r="H408" s="305"/>
      <c r="I408" s="305"/>
    </row>
    <row r="409" spans="1:9" x14ac:dyDescent="0.2">
      <c r="A409" s="310" t="s">
        <v>1358</v>
      </c>
      <c r="B409" s="310" t="s">
        <v>1375</v>
      </c>
      <c r="C409" s="309">
        <v>42289</v>
      </c>
      <c r="D409" s="308" t="s">
        <v>1426</v>
      </c>
      <c r="E409" s="307">
        <v>1</v>
      </c>
      <c r="F409" s="311">
        <v>300</v>
      </c>
      <c r="G409" s="307">
        <v>58</v>
      </c>
      <c r="H409" s="305"/>
      <c r="I409" s="305"/>
    </row>
    <row r="410" spans="1:9" x14ac:dyDescent="0.2">
      <c r="A410" s="310" t="s">
        <v>1358</v>
      </c>
      <c r="B410" s="310" t="s">
        <v>1375</v>
      </c>
      <c r="C410" s="309">
        <v>42289</v>
      </c>
      <c r="D410" s="308" t="s">
        <v>1415</v>
      </c>
      <c r="E410" s="307">
        <v>1</v>
      </c>
      <c r="F410" s="311">
        <v>300</v>
      </c>
      <c r="G410" s="307">
        <v>58</v>
      </c>
      <c r="H410" s="305"/>
      <c r="I410" s="305"/>
    </row>
    <row r="411" spans="1:9" x14ac:dyDescent="0.2">
      <c r="A411" s="310" t="s">
        <v>1358</v>
      </c>
      <c r="B411" s="310" t="s">
        <v>1375</v>
      </c>
      <c r="C411" s="309">
        <v>42289</v>
      </c>
      <c r="D411" s="308" t="s">
        <v>1399</v>
      </c>
      <c r="E411" s="307">
        <v>1</v>
      </c>
      <c r="F411" s="311">
        <v>300</v>
      </c>
      <c r="G411" s="307">
        <v>58</v>
      </c>
      <c r="H411" s="305"/>
      <c r="I411" s="305"/>
    </row>
    <row r="412" spans="1:9" x14ac:dyDescent="0.2">
      <c r="A412" s="310" t="s">
        <v>1358</v>
      </c>
      <c r="B412" s="310" t="s">
        <v>1375</v>
      </c>
      <c r="C412" s="309">
        <v>42460</v>
      </c>
      <c r="D412" s="308" t="s">
        <v>3019</v>
      </c>
      <c r="E412" s="307">
        <v>1</v>
      </c>
      <c r="F412" s="311">
        <v>320</v>
      </c>
      <c r="G412" s="307">
        <v>58</v>
      </c>
      <c r="H412" s="305"/>
      <c r="I412" s="305"/>
    </row>
    <row r="413" spans="1:9" x14ac:dyDescent="0.2">
      <c r="A413" s="310" t="s">
        <v>1319</v>
      </c>
      <c r="B413" s="310" t="s">
        <v>1373</v>
      </c>
      <c r="C413" s="309">
        <v>42084</v>
      </c>
      <c r="D413" s="308" t="s">
        <v>1911</v>
      </c>
      <c r="E413" s="307">
        <v>1</v>
      </c>
      <c r="F413" s="311">
        <v>100</v>
      </c>
      <c r="G413" s="306">
        <f>66-(7)</f>
        <v>59</v>
      </c>
      <c r="H413" s="305"/>
      <c r="I413" s="305"/>
    </row>
    <row r="414" spans="1:9" x14ac:dyDescent="0.2">
      <c r="A414" s="310" t="s">
        <v>1319</v>
      </c>
      <c r="B414" s="310" t="s">
        <v>1373</v>
      </c>
      <c r="C414" s="309">
        <v>42415</v>
      </c>
      <c r="D414" s="308" t="s">
        <v>2079</v>
      </c>
      <c r="E414" s="307">
        <v>1</v>
      </c>
      <c r="F414" s="311">
        <v>120</v>
      </c>
      <c r="G414" s="306">
        <f>66-(7)</f>
        <v>59</v>
      </c>
      <c r="H414" s="305"/>
      <c r="I414" s="305"/>
    </row>
    <row r="415" spans="1:9" x14ac:dyDescent="0.2">
      <c r="A415" s="310" t="s">
        <v>1319</v>
      </c>
      <c r="B415" s="310" t="s">
        <v>1373</v>
      </c>
      <c r="C415" s="309">
        <v>42415</v>
      </c>
      <c r="D415" s="308" t="s">
        <v>2067</v>
      </c>
      <c r="E415" s="307">
        <v>1</v>
      </c>
      <c r="F415" s="311">
        <v>120</v>
      </c>
      <c r="G415" s="306">
        <f>66-(7)</f>
        <v>59</v>
      </c>
      <c r="H415" s="305"/>
      <c r="I415" s="305"/>
    </row>
    <row r="416" spans="1:9" x14ac:dyDescent="0.2">
      <c r="A416" s="310" t="s">
        <v>1319</v>
      </c>
      <c r="B416" s="310" t="s">
        <v>1373</v>
      </c>
      <c r="C416" s="309">
        <v>42415</v>
      </c>
      <c r="D416" s="308" t="s">
        <v>2081</v>
      </c>
      <c r="E416" s="307">
        <v>1</v>
      </c>
      <c r="F416" s="311">
        <v>120</v>
      </c>
      <c r="G416" s="306">
        <f>66-(7)</f>
        <v>59</v>
      </c>
      <c r="H416" s="305"/>
      <c r="I416" s="305"/>
    </row>
    <row r="417" spans="1:9" x14ac:dyDescent="0.2">
      <c r="A417" s="310" t="s">
        <v>1319</v>
      </c>
      <c r="B417" s="310" t="s">
        <v>1371</v>
      </c>
      <c r="C417" s="309">
        <v>42476</v>
      </c>
      <c r="D417" s="308" t="s">
        <v>2143</v>
      </c>
      <c r="E417" s="307">
        <v>1</v>
      </c>
      <c r="F417" s="311">
        <v>120</v>
      </c>
      <c r="G417" s="306">
        <f>55+(4)</f>
        <v>59</v>
      </c>
      <c r="H417" s="305"/>
      <c r="I417" s="305"/>
    </row>
    <row r="418" spans="1:9" x14ac:dyDescent="0.2">
      <c r="A418" s="310" t="s">
        <v>1313</v>
      </c>
      <c r="B418" s="310" t="s">
        <v>1373</v>
      </c>
      <c r="C418" s="309">
        <v>42105</v>
      </c>
      <c r="D418" s="308" t="s">
        <v>1936</v>
      </c>
      <c r="E418" s="307">
        <v>1</v>
      </c>
      <c r="F418" s="311">
        <v>200</v>
      </c>
      <c r="G418" s="306">
        <f>66-(7)</f>
        <v>59</v>
      </c>
      <c r="H418" s="305"/>
      <c r="I418" s="305"/>
    </row>
    <row r="419" spans="1:9" x14ac:dyDescent="0.2">
      <c r="A419" s="310" t="s">
        <v>1313</v>
      </c>
      <c r="B419" s="310" t="s">
        <v>1361</v>
      </c>
      <c r="C419" s="309">
        <v>42177</v>
      </c>
      <c r="D419" s="308" t="s">
        <v>1556</v>
      </c>
      <c r="E419" s="307">
        <v>1</v>
      </c>
      <c r="F419" s="311">
        <v>200</v>
      </c>
      <c r="G419" s="303">
        <f>64-(5)</f>
        <v>59</v>
      </c>
      <c r="H419" s="305"/>
      <c r="I419" s="305"/>
    </row>
    <row r="420" spans="1:9" x14ac:dyDescent="0.2">
      <c r="A420" s="310" t="s">
        <v>1374</v>
      </c>
      <c r="B420" s="310" t="s">
        <v>1369</v>
      </c>
      <c r="C420" s="309">
        <v>42227</v>
      </c>
      <c r="D420" s="308" t="s">
        <v>1971</v>
      </c>
      <c r="E420" s="307">
        <v>1</v>
      </c>
      <c r="F420" s="311">
        <v>300</v>
      </c>
      <c r="G420" s="307">
        <v>59</v>
      </c>
      <c r="H420" s="305"/>
      <c r="I420" s="305"/>
    </row>
    <row r="421" spans="1:9" x14ac:dyDescent="0.2">
      <c r="A421" s="310" t="s">
        <v>1374</v>
      </c>
      <c r="B421" s="310" t="s">
        <v>1369</v>
      </c>
      <c r="C421" s="309">
        <v>42227</v>
      </c>
      <c r="D421" s="308" t="s">
        <v>1697</v>
      </c>
      <c r="E421" s="307">
        <v>1</v>
      </c>
      <c r="F421" s="311">
        <v>300</v>
      </c>
      <c r="G421" s="307">
        <v>59</v>
      </c>
      <c r="H421" s="305"/>
      <c r="I421" s="305"/>
    </row>
    <row r="422" spans="1:9" x14ac:dyDescent="0.2">
      <c r="A422" s="310" t="s">
        <v>1374</v>
      </c>
      <c r="B422" s="310" t="s">
        <v>1369</v>
      </c>
      <c r="C422" s="309">
        <v>42531</v>
      </c>
      <c r="D422" s="308" t="s">
        <v>2222</v>
      </c>
      <c r="E422" s="307">
        <v>1</v>
      </c>
      <c r="F422" s="311">
        <v>320</v>
      </c>
      <c r="G422" s="307">
        <v>59</v>
      </c>
      <c r="H422" s="305"/>
      <c r="I422" s="305"/>
    </row>
    <row r="423" spans="1:9" x14ac:dyDescent="0.2">
      <c r="A423" s="310" t="s">
        <v>1370</v>
      </c>
      <c r="B423" s="310" t="s">
        <v>1361</v>
      </c>
      <c r="C423" s="309">
        <v>42447</v>
      </c>
      <c r="D423" s="308" t="s">
        <v>2375</v>
      </c>
      <c r="E423" s="307">
        <v>1</v>
      </c>
      <c r="F423" s="311">
        <v>500</v>
      </c>
      <c r="G423" s="303">
        <f>64-(5)</f>
        <v>59</v>
      </c>
      <c r="H423" s="305"/>
      <c r="I423" s="305"/>
    </row>
    <row r="424" spans="1:9" x14ac:dyDescent="0.2">
      <c r="A424" s="310" t="s">
        <v>1368</v>
      </c>
      <c r="B424" s="310" t="s">
        <v>1367</v>
      </c>
      <c r="C424" s="309">
        <v>42068</v>
      </c>
      <c r="D424" s="308" t="s">
        <v>1822</v>
      </c>
      <c r="E424" s="307">
        <v>1</v>
      </c>
      <c r="F424" s="311">
        <v>200</v>
      </c>
      <c r="G424" s="306">
        <v>59</v>
      </c>
      <c r="H424" s="305"/>
      <c r="I424" s="305"/>
    </row>
    <row r="425" spans="1:9" x14ac:dyDescent="0.2">
      <c r="A425" s="310" t="s">
        <v>1368</v>
      </c>
      <c r="B425" s="310" t="s">
        <v>1367</v>
      </c>
      <c r="C425" s="309">
        <v>42170</v>
      </c>
      <c r="D425" s="308" t="s">
        <v>1540</v>
      </c>
      <c r="E425" s="307">
        <v>1</v>
      </c>
      <c r="F425" s="311">
        <v>200</v>
      </c>
      <c r="G425" s="306">
        <v>59</v>
      </c>
      <c r="H425" s="305"/>
      <c r="I425" s="305"/>
    </row>
    <row r="426" spans="1:9" x14ac:dyDescent="0.2">
      <c r="A426" s="310" t="s">
        <v>1368</v>
      </c>
      <c r="B426" s="310" t="s">
        <v>1367</v>
      </c>
      <c r="C426" s="309">
        <v>42170</v>
      </c>
      <c r="D426" s="308" t="s">
        <v>1572</v>
      </c>
      <c r="E426" s="307">
        <v>1</v>
      </c>
      <c r="F426" s="311">
        <v>200</v>
      </c>
      <c r="G426" s="306">
        <v>59</v>
      </c>
      <c r="H426" s="305"/>
      <c r="I426" s="305"/>
    </row>
    <row r="427" spans="1:9" x14ac:dyDescent="0.2">
      <c r="A427" s="310" t="s">
        <v>1368</v>
      </c>
      <c r="B427" s="310" t="s">
        <v>1367</v>
      </c>
      <c r="C427" s="309">
        <v>42170</v>
      </c>
      <c r="D427" s="308" t="s">
        <v>1787</v>
      </c>
      <c r="E427" s="307">
        <v>1</v>
      </c>
      <c r="F427" s="311">
        <v>200</v>
      </c>
      <c r="G427" s="306">
        <v>59</v>
      </c>
      <c r="H427" s="305"/>
      <c r="I427" s="305"/>
    </row>
    <row r="428" spans="1:9" x14ac:dyDescent="0.2">
      <c r="A428" s="310" t="s">
        <v>1368</v>
      </c>
      <c r="B428" s="310" t="s">
        <v>1371</v>
      </c>
      <c r="C428" s="309">
        <v>42323</v>
      </c>
      <c r="D428" s="308" t="s">
        <v>1693</v>
      </c>
      <c r="E428" s="307">
        <v>1</v>
      </c>
      <c r="F428" s="311">
        <v>200</v>
      </c>
      <c r="G428" s="306">
        <f t="shared" ref="G428:G434" si="7">55+(4)</f>
        <v>59</v>
      </c>
      <c r="H428" s="305"/>
      <c r="I428" s="305"/>
    </row>
    <row r="429" spans="1:9" x14ac:dyDescent="0.2">
      <c r="A429" s="310" t="s">
        <v>1368</v>
      </c>
      <c r="B429" s="310" t="s">
        <v>1371</v>
      </c>
      <c r="C429" s="309">
        <v>42340</v>
      </c>
      <c r="D429" s="308" t="s">
        <v>1853</v>
      </c>
      <c r="E429" s="307">
        <v>1</v>
      </c>
      <c r="F429" s="311">
        <v>200</v>
      </c>
      <c r="G429" s="306">
        <f t="shared" si="7"/>
        <v>59</v>
      </c>
      <c r="H429" s="305"/>
      <c r="I429" s="305"/>
    </row>
    <row r="430" spans="1:9" x14ac:dyDescent="0.2">
      <c r="A430" s="310" t="s">
        <v>1368</v>
      </c>
      <c r="B430" s="310" t="s">
        <v>1371</v>
      </c>
      <c r="C430" s="309">
        <v>42340</v>
      </c>
      <c r="D430" s="308" t="s">
        <v>1846</v>
      </c>
      <c r="E430" s="307">
        <v>1</v>
      </c>
      <c r="F430" s="311">
        <v>200</v>
      </c>
      <c r="G430" s="306">
        <f t="shared" si="7"/>
        <v>59</v>
      </c>
      <c r="H430" s="305"/>
      <c r="I430" s="305"/>
    </row>
    <row r="431" spans="1:9" x14ac:dyDescent="0.2">
      <c r="A431" s="310" t="s">
        <v>1368</v>
      </c>
      <c r="B431" s="310" t="s">
        <v>1371</v>
      </c>
      <c r="C431" s="309">
        <v>42340</v>
      </c>
      <c r="D431" s="308" t="s">
        <v>1508</v>
      </c>
      <c r="E431" s="307">
        <v>1</v>
      </c>
      <c r="F431" s="311">
        <v>200</v>
      </c>
      <c r="G431" s="306">
        <f t="shared" si="7"/>
        <v>59</v>
      </c>
      <c r="H431" s="305"/>
      <c r="I431" s="305"/>
    </row>
    <row r="432" spans="1:9" x14ac:dyDescent="0.2">
      <c r="A432" s="310" t="s">
        <v>1368</v>
      </c>
      <c r="B432" s="310" t="s">
        <v>1371</v>
      </c>
      <c r="C432" s="309">
        <v>42412</v>
      </c>
      <c r="D432" s="308" t="s">
        <v>2432</v>
      </c>
      <c r="E432" s="307">
        <v>1</v>
      </c>
      <c r="F432" s="311">
        <v>200</v>
      </c>
      <c r="G432" s="306">
        <f t="shared" si="7"/>
        <v>59</v>
      </c>
      <c r="H432" s="305"/>
      <c r="I432" s="305"/>
    </row>
    <row r="433" spans="1:9" x14ac:dyDescent="0.2">
      <c r="A433" s="310" t="s">
        <v>1368</v>
      </c>
      <c r="B433" s="310" t="s">
        <v>1371</v>
      </c>
      <c r="C433" s="309">
        <v>42412</v>
      </c>
      <c r="D433" s="308" t="s">
        <v>2430</v>
      </c>
      <c r="E433" s="307">
        <v>1</v>
      </c>
      <c r="F433" s="311">
        <v>200</v>
      </c>
      <c r="G433" s="306">
        <f t="shared" si="7"/>
        <v>59</v>
      </c>
      <c r="H433" s="305"/>
      <c r="I433" s="305"/>
    </row>
    <row r="434" spans="1:9" x14ac:dyDescent="0.2">
      <c r="A434" s="310" t="s">
        <v>1368</v>
      </c>
      <c r="B434" s="310" t="s">
        <v>1371</v>
      </c>
      <c r="C434" s="309">
        <v>42412</v>
      </c>
      <c r="D434" s="308" t="s">
        <v>2442</v>
      </c>
      <c r="E434" s="307">
        <v>1</v>
      </c>
      <c r="F434" s="311">
        <v>200</v>
      </c>
      <c r="G434" s="306">
        <f t="shared" si="7"/>
        <v>59</v>
      </c>
      <c r="H434" s="305"/>
      <c r="I434" s="305"/>
    </row>
    <row r="435" spans="1:9" x14ac:dyDescent="0.2">
      <c r="A435" s="310" t="s">
        <v>1368</v>
      </c>
      <c r="B435" s="310" t="s">
        <v>1367</v>
      </c>
      <c r="C435" s="309">
        <v>42461</v>
      </c>
      <c r="D435" s="308" t="s">
        <v>2492</v>
      </c>
      <c r="E435" s="307">
        <v>1</v>
      </c>
      <c r="F435" s="311">
        <v>200</v>
      </c>
      <c r="G435" s="306">
        <v>59</v>
      </c>
      <c r="H435" s="305"/>
      <c r="I435" s="305"/>
    </row>
    <row r="436" spans="1:9" x14ac:dyDescent="0.2">
      <c r="A436" s="310" t="s">
        <v>1368</v>
      </c>
      <c r="B436" s="310" t="s">
        <v>1367</v>
      </c>
      <c r="C436" s="309">
        <v>42490</v>
      </c>
      <c r="D436" s="308" t="s">
        <v>2530</v>
      </c>
      <c r="E436" s="307">
        <v>1</v>
      </c>
      <c r="F436" s="311">
        <v>200</v>
      </c>
      <c r="G436" s="306">
        <v>59</v>
      </c>
      <c r="H436" s="305"/>
      <c r="I436" s="305"/>
    </row>
    <row r="437" spans="1:9" x14ac:dyDescent="0.2">
      <c r="A437" s="310" t="s">
        <v>1368</v>
      </c>
      <c r="B437" s="310" t="s">
        <v>1367</v>
      </c>
      <c r="C437" s="309">
        <v>42505</v>
      </c>
      <c r="D437" s="308" t="s">
        <v>2533</v>
      </c>
      <c r="E437" s="307">
        <v>1</v>
      </c>
      <c r="F437" s="311">
        <v>200</v>
      </c>
      <c r="G437" s="306">
        <v>59</v>
      </c>
      <c r="H437" s="305"/>
      <c r="I437" s="305"/>
    </row>
    <row r="438" spans="1:9" x14ac:dyDescent="0.2">
      <c r="A438" s="310" t="s">
        <v>1368</v>
      </c>
      <c r="B438" s="310" t="s">
        <v>1367</v>
      </c>
      <c r="C438" s="309">
        <v>42563</v>
      </c>
      <c r="D438" s="308" t="s">
        <v>2592</v>
      </c>
      <c r="E438" s="307">
        <v>1</v>
      </c>
      <c r="F438" s="311">
        <v>200</v>
      </c>
      <c r="G438" s="306">
        <v>59</v>
      </c>
      <c r="H438" s="305"/>
      <c r="I438" s="305"/>
    </row>
    <row r="439" spans="1:9" x14ac:dyDescent="0.2">
      <c r="A439" s="310" t="s">
        <v>1368</v>
      </c>
      <c r="B439" s="310" t="s">
        <v>1367</v>
      </c>
      <c r="C439" s="309">
        <v>42593</v>
      </c>
      <c r="D439" s="308" t="s">
        <v>2614</v>
      </c>
      <c r="E439" s="307">
        <v>1</v>
      </c>
      <c r="F439" s="311">
        <v>200</v>
      </c>
      <c r="G439" s="306">
        <v>59</v>
      </c>
      <c r="H439" s="305"/>
      <c r="I439" s="305"/>
    </row>
    <row r="440" spans="1:9" x14ac:dyDescent="0.2">
      <c r="A440" s="310" t="s">
        <v>1366</v>
      </c>
      <c r="B440" s="310" t="s">
        <v>1376</v>
      </c>
      <c r="C440" s="309">
        <v>42562</v>
      </c>
      <c r="D440" s="308" t="s">
        <v>2672</v>
      </c>
      <c r="E440" s="307">
        <v>1</v>
      </c>
      <c r="F440" s="311">
        <v>380</v>
      </c>
      <c r="G440" s="306">
        <v>59</v>
      </c>
      <c r="H440" s="305"/>
      <c r="I440" s="305"/>
    </row>
    <row r="441" spans="1:9" x14ac:dyDescent="0.2">
      <c r="A441" s="310" t="s">
        <v>1366</v>
      </c>
      <c r="B441" s="310" t="s">
        <v>1376</v>
      </c>
      <c r="C441" s="309">
        <v>42562</v>
      </c>
      <c r="D441" s="308" t="s">
        <v>2677</v>
      </c>
      <c r="E441" s="307">
        <v>1</v>
      </c>
      <c r="F441" s="311">
        <v>380</v>
      </c>
      <c r="G441" s="306">
        <v>59</v>
      </c>
      <c r="H441" s="305"/>
      <c r="I441" s="305"/>
    </row>
    <row r="442" spans="1:9" x14ac:dyDescent="0.2">
      <c r="A442" s="310" t="s">
        <v>1366</v>
      </c>
      <c r="B442" s="310" t="s">
        <v>1376</v>
      </c>
      <c r="C442" s="309">
        <v>42562</v>
      </c>
      <c r="D442" s="308" t="s">
        <v>2657</v>
      </c>
      <c r="E442" s="307">
        <v>1</v>
      </c>
      <c r="F442" s="311">
        <v>380</v>
      </c>
      <c r="G442" s="306">
        <v>59</v>
      </c>
      <c r="H442" s="305"/>
      <c r="I442" s="305"/>
    </row>
    <row r="443" spans="1:9" x14ac:dyDescent="0.2">
      <c r="A443" s="310" t="s">
        <v>1364</v>
      </c>
      <c r="B443" s="310" t="s">
        <v>1367</v>
      </c>
      <c r="C443" s="309">
        <v>42091</v>
      </c>
      <c r="D443" s="308" t="s">
        <v>1688</v>
      </c>
      <c r="E443" s="307">
        <v>1</v>
      </c>
      <c r="F443" s="311">
        <v>600</v>
      </c>
      <c r="G443" s="306">
        <v>59</v>
      </c>
      <c r="H443" s="305"/>
      <c r="I443" s="305"/>
    </row>
    <row r="444" spans="1:9" x14ac:dyDescent="0.2">
      <c r="A444" s="310" t="s">
        <v>1364</v>
      </c>
      <c r="B444" s="310" t="s">
        <v>1371</v>
      </c>
      <c r="C444" s="309">
        <v>42430</v>
      </c>
      <c r="D444" s="308" t="s">
        <v>2725</v>
      </c>
      <c r="E444" s="307">
        <v>1</v>
      </c>
      <c r="F444" s="311">
        <v>650</v>
      </c>
      <c r="G444" s="306">
        <f>55+(4)</f>
        <v>59</v>
      </c>
      <c r="H444" s="305"/>
      <c r="I444" s="305"/>
    </row>
    <row r="445" spans="1:9" x14ac:dyDescent="0.2">
      <c r="A445" s="310" t="s">
        <v>1364</v>
      </c>
      <c r="B445" s="310" t="s">
        <v>1367</v>
      </c>
      <c r="C445" s="309">
        <v>42638</v>
      </c>
      <c r="D445" s="308" t="s">
        <v>2740</v>
      </c>
      <c r="E445" s="307">
        <v>1</v>
      </c>
      <c r="F445" s="311">
        <v>650</v>
      </c>
      <c r="G445" s="306">
        <v>59</v>
      </c>
      <c r="H445" s="305"/>
      <c r="I445" s="305"/>
    </row>
    <row r="446" spans="1:9" x14ac:dyDescent="0.2">
      <c r="A446" s="310" t="s">
        <v>1364</v>
      </c>
      <c r="B446" s="310" t="s">
        <v>1367</v>
      </c>
      <c r="C446" s="309">
        <v>42638</v>
      </c>
      <c r="D446" s="308" t="s">
        <v>2797</v>
      </c>
      <c r="E446" s="307">
        <v>1</v>
      </c>
      <c r="F446" s="311">
        <v>650</v>
      </c>
      <c r="G446" s="306">
        <v>59</v>
      </c>
      <c r="H446" s="305"/>
      <c r="I446" s="305"/>
    </row>
    <row r="447" spans="1:9" x14ac:dyDescent="0.2">
      <c r="A447" s="310" t="s">
        <v>1362</v>
      </c>
      <c r="B447" s="310" t="s">
        <v>1365</v>
      </c>
      <c r="C447" s="309">
        <v>42127</v>
      </c>
      <c r="D447" s="308" t="s">
        <v>1609</v>
      </c>
      <c r="E447" s="307">
        <v>1</v>
      </c>
      <c r="F447" s="311">
        <v>400</v>
      </c>
      <c r="G447" s="303">
        <f>71-(12)</f>
        <v>59</v>
      </c>
      <c r="H447" s="305"/>
      <c r="I447" s="305"/>
    </row>
    <row r="448" spans="1:9" x14ac:dyDescent="0.2">
      <c r="A448" s="310" t="s">
        <v>1362</v>
      </c>
      <c r="B448" s="310" t="s">
        <v>1365</v>
      </c>
      <c r="C448" s="309">
        <v>42654</v>
      </c>
      <c r="D448" s="308" t="s">
        <v>2884</v>
      </c>
      <c r="E448" s="307">
        <v>1</v>
      </c>
      <c r="F448" s="311">
        <v>400</v>
      </c>
      <c r="G448" s="303">
        <f>71-(12)</f>
        <v>59</v>
      </c>
      <c r="H448" s="305"/>
      <c r="I448" s="305"/>
    </row>
    <row r="449" spans="1:9" x14ac:dyDescent="0.2">
      <c r="A449" s="310" t="s">
        <v>1362</v>
      </c>
      <c r="B449" s="310" t="s">
        <v>1365</v>
      </c>
      <c r="C449" s="309">
        <v>42654</v>
      </c>
      <c r="D449" s="308" t="s">
        <v>2881</v>
      </c>
      <c r="E449" s="307">
        <v>1</v>
      </c>
      <c r="F449" s="311">
        <v>400</v>
      </c>
      <c r="G449" s="303">
        <f>71-(12)</f>
        <v>59</v>
      </c>
      <c r="H449" s="305"/>
      <c r="I449" s="305"/>
    </row>
    <row r="450" spans="1:9" x14ac:dyDescent="0.2">
      <c r="A450" s="310" t="s">
        <v>1362</v>
      </c>
      <c r="B450" s="310" t="s">
        <v>1365</v>
      </c>
      <c r="C450" s="309">
        <v>42654</v>
      </c>
      <c r="D450" s="308" t="s">
        <v>2898</v>
      </c>
      <c r="E450" s="307">
        <v>1</v>
      </c>
      <c r="F450" s="311">
        <v>400</v>
      </c>
      <c r="G450" s="303">
        <f>71-(12)</f>
        <v>59</v>
      </c>
      <c r="H450" s="305"/>
      <c r="I450" s="305"/>
    </row>
    <row r="451" spans="1:9" x14ac:dyDescent="0.2">
      <c r="A451" s="310" t="s">
        <v>1360</v>
      </c>
      <c r="B451" s="310" t="s">
        <v>1371</v>
      </c>
      <c r="C451" s="309">
        <v>42022</v>
      </c>
      <c r="D451" s="308" t="s">
        <v>1546</v>
      </c>
      <c r="E451" s="307">
        <v>1</v>
      </c>
      <c r="F451" s="311">
        <v>250</v>
      </c>
      <c r="G451" s="306">
        <f>55+(4)</f>
        <v>59</v>
      </c>
      <c r="H451" s="305"/>
      <c r="I451" s="305"/>
    </row>
    <row r="452" spans="1:9" x14ac:dyDescent="0.2">
      <c r="A452" s="310" t="s">
        <v>1360</v>
      </c>
      <c r="B452" s="310" t="s">
        <v>1371</v>
      </c>
      <c r="C452" s="309">
        <v>42504</v>
      </c>
      <c r="D452" s="308" t="s">
        <v>2912</v>
      </c>
      <c r="E452" s="307">
        <v>1</v>
      </c>
      <c r="F452" s="311">
        <v>275</v>
      </c>
      <c r="G452" s="306">
        <f>55+(4)</f>
        <v>59</v>
      </c>
      <c r="H452" s="305"/>
      <c r="I452" s="305"/>
    </row>
    <row r="453" spans="1:9" x14ac:dyDescent="0.2">
      <c r="A453" s="310" t="s">
        <v>1360</v>
      </c>
      <c r="B453" s="310" t="s">
        <v>1371</v>
      </c>
      <c r="C453" s="309">
        <v>42504</v>
      </c>
      <c r="D453" s="308" t="s">
        <v>2922</v>
      </c>
      <c r="E453" s="307">
        <v>1</v>
      </c>
      <c r="F453" s="311">
        <v>275</v>
      </c>
      <c r="G453" s="306">
        <f>55+(4)</f>
        <v>59</v>
      </c>
      <c r="H453" s="305"/>
      <c r="I453" s="305"/>
    </row>
    <row r="454" spans="1:9" x14ac:dyDescent="0.2">
      <c r="A454" s="310" t="s">
        <v>1359</v>
      </c>
      <c r="B454" s="310" t="s">
        <v>1363</v>
      </c>
      <c r="C454" s="309">
        <v>42064</v>
      </c>
      <c r="D454" s="308" t="s">
        <v>1511</v>
      </c>
      <c r="E454" s="307">
        <v>1</v>
      </c>
      <c r="F454" s="311">
        <v>400</v>
      </c>
      <c r="G454" s="307">
        <v>59</v>
      </c>
      <c r="H454" s="305"/>
      <c r="I454" s="305"/>
    </row>
    <row r="455" spans="1:9" x14ac:dyDescent="0.2">
      <c r="A455" s="310" t="s">
        <v>1359</v>
      </c>
      <c r="B455" s="310" t="s">
        <v>1363</v>
      </c>
      <c r="C455" s="309">
        <v>42424</v>
      </c>
      <c r="D455" s="308" t="s">
        <v>2965</v>
      </c>
      <c r="E455" s="307">
        <v>1</v>
      </c>
      <c r="F455" s="311">
        <v>400</v>
      </c>
      <c r="G455" s="307">
        <v>59</v>
      </c>
      <c r="H455" s="305"/>
      <c r="I455" s="305"/>
    </row>
    <row r="456" spans="1:9" x14ac:dyDescent="0.2">
      <c r="A456" s="310" t="s">
        <v>1358</v>
      </c>
      <c r="B456" s="310" t="s">
        <v>1375</v>
      </c>
      <c r="C456" s="309">
        <v>42037</v>
      </c>
      <c r="D456" s="308" t="s">
        <v>1469</v>
      </c>
      <c r="E456" s="307">
        <v>1</v>
      </c>
      <c r="F456" s="311">
        <v>300</v>
      </c>
      <c r="G456" s="307">
        <v>59</v>
      </c>
      <c r="H456" s="305"/>
      <c r="I456" s="305"/>
    </row>
    <row r="457" spans="1:9" x14ac:dyDescent="0.2">
      <c r="A457" s="310" t="s">
        <v>1358</v>
      </c>
      <c r="B457" s="310" t="s">
        <v>1375</v>
      </c>
      <c r="C457" s="309">
        <v>42037</v>
      </c>
      <c r="D457" s="308" t="s">
        <v>1452</v>
      </c>
      <c r="E457" s="307">
        <v>1</v>
      </c>
      <c r="F457" s="311">
        <v>300</v>
      </c>
      <c r="G457" s="307">
        <v>59</v>
      </c>
      <c r="H457" s="305"/>
      <c r="I457" s="305"/>
    </row>
    <row r="458" spans="1:9" x14ac:dyDescent="0.2">
      <c r="A458" s="310" t="s">
        <v>1358</v>
      </c>
      <c r="B458" s="310" t="s">
        <v>1375</v>
      </c>
      <c r="C458" s="309">
        <v>42289</v>
      </c>
      <c r="D458" s="308" t="s">
        <v>1398</v>
      </c>
      <c r="E458" s="307">
        <v>1</v>
      </c>
      <c r="F458" s="311">
        <v>300</v>
      </c>
      <c r="G458" s="307">
        <v>59</v>
      </c>
      <c r="H458" s="305"/>
      <c r="I458" s="305"/>
    </row>
    <row r="459" spans="1:9" x14ac:dyDescent="0.2">
      <c r="A459" s="310" t="s">
        <v>1358</v>
      </c>
      <c r="B459" s="310" t="s">
        <v>1375</v>
      </c>
      <c r="C459" s="309">
        <v>42460</v>
      </c>
      <c r="D459" s="308" t="s">
        <v>2767</v>
      </c>
      <c r="E459" s="307">
        <v>1</v>
      </c>
      <c r="F459" s="311">
        <v>320</v>
      </c>
      <c r="G459" s="307">
        <v>59</v>
      </c>
      <c r="H459" s="305"/>
      <c r="I459" s="305"/>
    </row>
    <row r="460" spans="1:9" x14ac:dyDescent="0.2">
      <c r="A460" s="310" t="s">
        <v>1358</v>
      </c>
      <c r="B460" s="310" t="s">
        <v>1375</v>
      </c>
      <c r="C460" s="309">
        <v>42544</v>
      </c>
      <c r="D460" s="308" t="s">
        <v>3034</v>
      </c>
      <c r="E460" s="307">
        <v>1</v>
      </c>
      <c r="F460" s="311">
        <v>320</v>
      </c>
      <c r="G460" s="307">
        <v>59</v>
      </c>
      <c r="H460" s="305"/>
      <c r="I460" s="305"/>
    </row>
    <row r="461" spans="1:9" x14ac:dyDescent="0.2">
      <c r="A461" s="310" t="s">
        <v>1358</v>
      </c>
      <c r="B461" s="310" t="s">
        <v>1375</v>
      </c>
      <c r="C461" s="309">
        <v>42648</v>
      </c>
      <c r="D461" s="308" t="s">
        <v>3068</v>
      </c>
      <c r="E461" s="307">
        <v>1</v>
      </c>
      <c r="F461" s="311">
        <v>320</v>
      </c>
      <c r="G461" s="307">
        <v>59</v>
      </c>
      <c r="H461" s="305"/>
      <c r="I461" s="305"/>
    </row>
    <row r="462" spans="1:9" x14ac:dyDescent="0.2">
      <c r="A462" s="310" t="s">
        <v>1358</v>
      </c>
      <c r="B462" s="310" t="s">
        <v>1375</v>
      </c>
      <c r="C462" s="309">
        <v>42648</v>
      </c>
      <c r="D462" s="308" t="s">
        <v>3069</v>
      </c>
      <c r="E462" s="307">
        <v>1</v>
      </c>
      <c r="F462" s="311">
        <v>320</v>
      </c>
      <c r="G462" s="307">
        <v>59</v>
      </c>
      <c r="H462" s="305"/>
      <c r="I462" s="305"/>
    </row>
    <row r="463" spans="1:9" x14ac:dyDescent="0.2">
      <c r="A463" s="310" t="s">
        <v>1358</v>
      </c>
      <c r="B463" s="310" t="s">
        <v>1375</v>
      </c>
      <c r="C463" s="309">
        <v>42648</v>
      </c>
      <c r="D463" s="308" t="s">
        <v>3061</v>
      </c>
      <c r="E463" s="307">
        <v>1</v>
      </c>
      <c r="F463" s="311">
        <v>320</v>
      </c>
      <c r="G463" s="307">
        <v>59</v>
      </c>
      <c r="H463" s="305"/>
      <c r="I463" s="305"/>
    </row>
    <row r="464" spans="1:9" x14ac:dyDescent="0.2">
      <c r="A464" s="310" t="s">
        <v>1319</v>
      </c>
      <c r="B464" s="310" t="s">
        <v>1361</v>
      </c>
      <c r="C464" s="309">
        <v>42019</v>
      </c>
      <c r="D464" s="308" t="s">
        <v>1992</v>
      </c>
      <c r="E464" s="307">
        <v>1</v>
      </c>
      <c r="F464" s="311">
        <v>100</v>
      </c>
      <c r="G464" s="303">
        <f>65-(5)</f>
        <v>60</v>
      </c>
      <c r="H464" s="305"/>
      <c r="I464" s="305"/>
    </row>
    <row r="465" spans="1:9" x14ac:dyDescent="0.2">
      <c r="A465" s="310" t="s">
        <v>1319</v>
      </c>
      <c r="B465" s="310" t="s">
        <v>1361</v>
      </c>
      <c r="C465" s="309">
        <v>42019</v>
      </c>
      <c r="D465" s="308" t="s">
        <v>1598</v>
      </c>
      <c r="E465" s="307">
        <v>1</v>
      </c>
      <c r="F465" s="311">
        <v>100</v>
      </c>
      <c r="G465" s="303">
        <f>65-(5)</f>
        <v>60</v>
      </c>
      <c r="H465" s="305"/>
      <c r="I465" s="305"/>
    </row>
    <row r="466" spans="1:9" x14ac:dyDescent="0.2">
      <c r="A466" s="310" t="s">
        <v>1319</v>
      </c>
      <c r="B466" s="310" t="s">
        <v>1371</v>
      </c>
      <c r="C466" s="309">
        <v>42476</v>
      </c>
      <c r="D466" s="308" t="s">
        <v>2138</v>
      </c>
      <c r="E466" s="307">
        <v>1</v>
      </c>
      <c r="F466" s="311">
        <v>120</v>
      </c>
      <c r="G466" s="306">
        <f>56+(4)</f>
        <v>60</v>
      </c>
      <c r="H466" s="305"/>
      <c r="I466" s="305"/>
    </row>
    <row r="467" spans="1:9" x14ac:dyDescent="0.2">
      <c r="A467" s="310" t="s">
        <v>1319</v>
      </c>
      <c r="B467" s="310" t="s">
        <v>1371</v>
      </c>
      <c r="C467" s="309">
        <v>42476</v>
      </c>
      <c r="D467" s="308" t="s">
        <v>2095</v>
      </c>
      <c r="E467" s="307">
        <v>1</v>
      </c>
      <c r="F467" s="311">
        <v>120</v>
      </c>
      <c r="G467" s="306">
        <f>56+(4)</f>
        <v>60</v>
      </c>
      <c r="H467" s="305"/>
      <c r="I467" s="305"/>
    </row>
    <row r="468" spans="1:9" x14ac:dyDescent="0.2">
      <c r="A468" s="310" t="s">
        <v>1319</v>
      </c>
      <c r="B468" s="310" t="s">
        <v>1367</v>
      </c>
      <c r="C468" s="309">
        <v>42666</v>
      </c>
      <c r="D468" s="308" t="s">
        <v>2153</v>
      </c>
      <c r="E468" s="307">
        <v>1</v>
      </c>
      <c r="F468" s="311">
        <v>120</v>
      </c>
      <c r="G468" s="306">
        <v>60</v>
      </c>
      <c r="H468" s="305"/>
      <c r="I468" s="305"/>
    </row>
    <row r="469" spans="1:9" x14ac:dyDescent="0.2">
      <c r="A469" s="310" t="s">
        <v>1313</v>
      </c>
      <c r="B469" s="310" t="s">
        <v>1361</v>
      </c>
      <c r="C469" s="309">
        <v>42636</v>
      </c>
      <c r="D469" s="308" t="s">
        <v>2202</v>
      </c>
      <c r="E469" s="307">
        <v>1</v>
      </c>
      <c r="F469" s="311">
        <v>210</v>
      </c>
      <c r="G469" s="303">
        <f>65-(5)</f>
        <v>60</v>
      </c>
      <c r="H469" s="305"/>
      <c r="I469" s="305"/>
    </row>
    <row r="470" spans="1:9" x14ac:dyDescent="0.2">
      <c r="A470" s="310" t="s">
        <v>1374</v>
      </c>
      <c r="B470" s="310" t="s">
        <v>1369</v>
      </c>
      <c r="C470" s="309">
        <v>42227</v>
      </c>
      <c r="D470" s="308" t="s">
        <v>1572</v>
      </c>
      <c r="E470" s="307">
        <v>1</v>
      </c>
      <c r="F470" s="311">
        <v>300</v>
      </c>
      <c r="G470" s="307">
        <v>60</v>
      </c>
      <c r="H470" s="305"/>
      <c r="I470" s="305"/>
    </row>
    <row r="471" spans="1:9" x14ac:dyDescent="0.2">
      <c r="A471" s="310" t="s">
        <v>1374</v>
      </c>
      <c r="B471" s="310" t="s">
        <v>1369</v>
      </c>
      <c r="C471" s="309">
        <v>42227</v>
      </c>
      <c r="D471" s="308" t="s">
        <v>1414</v>
      </c>
      <c r="E471" s="307">
        <v>1</v>
      </c>
      <c r="F471" s="311">
        <v>300</v>
      </c>
      <c r="G471" s="307">
        <v>60</v>
      </c>
      <c r="H471" s="305"/>
      <c r="I471" s="305"/>
    </row>
    <row r="472" spans="1:9" x14ac:dyDescent="0.2">
      <c r="A472" s="310" t="s">
        <v>1372</v>
      </c>
      <c r="B472" s="310" t="s">
        <v>1363</v>
      </c>
      <c r="C472" s="309">
        <v>42685</v>
      </c>
      <c r="D472" s="308" t="s">
        <v>2286</v>
      </c>
      <c r="E472" s="307">
        <v>1</v>
      </c>
      <c r="F472" s="311">
        <v>310</v>
      </c>
      <c r="G472" s="307">
        <v>60</v>
      </c>
      <c r="H472" s="305"/>
      <c r="I472" s="305"/>
    </row>
    <row r="473" spans="1:9" x14ac:dyDescent="0.2">
      <c r="A473" s="310" t="s">
        <v>1370</v>
      </c>
      <c r="B473" s="310" t="s">
        <v>1361</v>
      </c>
      <c r="C473" s="309">
        <v>42139</v>
      </c>
      <c r="D473" s="308" t="s">
        <v>1906</v>
      </c>
      <c r="E473" s="307">
        <v>1</v>
      </c>
      <c r="F473" s="311">
        <v>500</v>
      </c>
      <c r="G473" s="303">
        <f>65-(5)</f>
        <v>60</v>
      </c>
      <c r="H473" s="305"/>
      <c r="I473" s="305"/>
    </row>
    <row r="474" spans="1:9" x14ac:dyDescent="0.2">
      <c r="A474" s="310" t="s">
        <v>1370</v>
      </c>
      <c r="B474" s="310" t="s">
        <v>1361</v>
      </c>
      <c r="C474" s="309">
        <v>42139</v>
      </c>
      <c r="D474" s="308" t="s">
        <v>1521</v>
      </c>
      <c r="E474" s="307">
        <v>1</v>
      </c>
      <c r="F474" s="311">
        <v>500</v>
      </c>
      <c r="G474" s="303">
        <f>65-(5)</f>
        <v>60</v>
      </c>
      <c r="H474" s="305"/>
      <c r="I474" s="305"/>
    </row>
    <row r="475" spans="1:9" x14ac:dyDescent="0.2">
      <c r="A475" s="310" t="s">
        <v>1370</v>
      </c>
      <c r="B475" s="310" t="s">
        <v>1361</v>
      </c>
      <c r="C475" s="309">
        <v>42139</v>
      </c>
      <c r="D475" s="308" t="s">
        <v>1701</v>
      </c>
      <c r="E475" s="307">
        <v>1</v>
      </c>
      <c r="F475" s="311">
        <v>500</v>
      </c>
      <c r="G475" s="303">
        <f>65-(5)</f>
        <v>60</v>
      </c>
      <c r="H475" s="305"/>
      <c r="I475" s="305"/>
    </row>
    <row r="476" spans="1:9" x14ac:dyDescent="0.2">
      <c r="A476" s="310" t="s">
        <v>1370</v>
      </c>
      <c r="B476" s="310" t="s">
        <v>1361</v>
      </c>
      <c r="C476" s="309">
        <v>42139</v>
      </c>
      <c r="D476" s="308" t="s">
        <v>1900</v>
      </c>
      <c r="E476" s="307">
        <v>1</v>
      </c>
      <c r="F476" s="311">
        <v>500</v>
      </c>
      <c r="G476" s="303">
        <f>65-(5)</f>
        <v>60</v>
      </c>
      <c r="H476" s="305"/>
      <c r="I476" s="305"/>
    </row>
    <row r="477" spans="1:9" x14ac:dyDescent="0.2">
      <c r="A477" s="310" t="s">
        <v>1368</v>
      </c>
      <c r="B477" s="310" t="s">
        <v>1367</v>
      </c>
      <c r="C477" s="309">
        <v>42068</v>
      </c>
      <c r="D477" s="308" t="s">
        <v>1445</v>
      </c>
      <c r="E477" s="307">
        <v>1</v>
      </c>
      <c r="F477" s="311">
        <v>200</v>
      </c>
      <c r="G477" s="306">
        <v>60</v>
      </c>
      <c r="H477" s="305"/>
      <c r="I477" s="305"/>
    </row>
    <row r="478" spans="1:9" x14ac:dyDescent="0.2">
      <c r="A478" s="310" t="s">
        <v>1368</v>
      </c>
      <c r="B478" s="310" t="s">
        <v>1367</v>
      </c>
      <c r="C478" s="309">
        <v>42282</v>
      </c>
      <c r="D478" s="308" t="s">
        <v>1629</v>
      </c>
      <c r="E478" s="307">
        <v>1</v>
      </c>
      <c r="F478" s="311">
        <v>200</v>
      </c>
      <c r="G478" s="306">
        <v>60</v>
      </c>
      <c r="H478" s="305"/>
      <c r="I478" s="305"/>
    </row>
    <row r="479" spans="1:9" x14ac:dyDescent="0.2">
      <c r="A479" s="310" t="s">
        <v>1368</v>
      </c>
      <c r="B479" s="310" t="s">
        <v>1371</v>
      </c>
      <c r="C479" s="309">
        <v>42323</v>
      </c>
      <c r="D479" s="308" t="s">
        <v>1893</v>
      </c>
      <c r="E479" s="307">
        <v>1</v>
      </c>
      <c r="F479" s="311">
        <v>200</v>
      </c>
      <c r="G479" s="306">
        <f>56+(4)</f>
        <v>60</v>
      </c>
      <c r="H479" s="305"/>
      <c r="I479" s="305"/>
    </row>
    <row r="480" spans="1:9" x14ac:dyDescent="0.2">
      <c r="A480" s="310" t="s">
        <v>1368</v>
      </c>
      <c r="B480" s="310" t="s">
        <v>1371</v>
      </c>
      <c r="C480" s="309">
        <v>42323</v>
      </c>
      <c r="D480" s="308" t="s">
        <v>1885</v>
      </c>
      <c r="E480" s="307">
        <v>1</v>
      </c>
      <c r="F480" s="311">
        <v>200</v>
      </c>
      <c r="G480" s="306">
        <f>56+(4)</f>
        <v>60</v>
      </c>
      <c r="H480" s="305"/>
      <c r="I480" s="305"/>
    </row>
    <row r="481" spans="1:9" x14ac:dyDescent="0.2">
      <c r="A481" s="310" t="s">
        <v>1368</v>
      </c>
      <c r="B481" s="310" t="s">
        <v>1371</v>
      </c>
      <c r="C481" s="309">
        <v>42412</v>
      </c>
      <c r="D481" s="308" t="s">
        <v>2435</v>
      </c>
      <c r="E481" s="307">
        <v>1</v>
      </c>
      <c r="F481" s="311">
        <v>200</v>
      </c>
      <c r="G481" s="306">
        <f>56+(4)</f>
        <v>60</v>
      </c>
      <c r="H481" s="305"/>
      <c r="I481" s="305"/>
    </row>
    <row r="482" spans="1:9" x14ac:dyDescent="0.2">
      <c r="A482" s="310" t="s">
        <v>1368</v>
      </c>
      <c r="B482" s="310" t="s">
        <v>1371</v>
      </c>
      <c r="C482" s="309">
        <v>42412</v>
      </c>
      <c r="D482" s="308" t="s">
        <v>2425</v>
      </c>
      <c r="E482" s="307">
        <v>1</v>
      </c>
      <c r="F482" s="311">
        <v>200</v>
      </c>
      <c r="G482" s="306">
        <f>56+(4)</f>
        <v>60</v>
      </c>
      <c r="H482" s="305"/>
      <c r="I482" s="305"/>
    </row>
    <row r="483" spans="1:9" x14ac:dyDescent="0.2">
      <c r="A483" s="310" t="s">
        <v>1368</v>
      </c>
      <c r="B483" s="310" t="s">
        <v>1367</v>
      </c>
      <c r="C483" s="309">
        <v>42505</v>
      </c>
      <c r="D483" s="308" t="s">
        <v>2565</v>
      </c>
      <c r="E483" s="307">
        <v>1</v>
      </c>
      <c r="F483" s="311">
        <v>200</v>
      </c>
      <c r="G483" s="306">
        <v>60</v>
      </c>
      <c r="H483" s="305"/>
      <c r="I483" s="305"/>
    </row>
    <row r="484" spans="1:9" x14ac:dyDescent="0.2">
      <c r="A484" s="310" t="s">
        <v>1364</v>
      </c>
      <c r="B484" s="310" t="s">
        <v>1367</v>
      </c>
      <c r="C484" s="309">
        <v>42091</v>
      </c>
      <c r="D484" s="308" t="s">
        <v>1671</v>
      </c>
      <c r="E484" s="307">
        <v>1</v>
      </c>
      <c r="F484" s="311">
        <v>600</v>
      </c>
      <c r="G484" s="306">
        <v>60</v>
      </c>
      <c r="H484" s="305"/>
      <c r="I484" s="305"/>
    </row>
    <row r="485" spans="1:9" x14ac:dyDescent="0.2">
      <c r="A485" s="310" t="s">
        <v>1364</v>
      </c>
      <c r="B485" s="310" t="s">
        <v>1371</v>
      </c>
      <c r="C485" s="309">
        <v>42265</v>
      </c>
      <c r="D485" s="308" t="s">
        <v>1704</v>
      </c>
      <c r="E485" s="307">
        <v>1</v>
      </c>
      <c r="F485" s="311">
        <v>600</v>
      </c>
      <c r="G485" s="306">
        <f>56+(4)</f>
        <v>60</v>
      </c>
      <c r="H485" s="305"/>
      <c r="I485" s="305"/>
    </row>
    <row r="486" spans="1:9" x14ac:dyDescent="0.2">
      <c r="A486" s="310" t="s">
        <v>1364</v>
      </c>
      <c r="B486" s="310" t="s">
        <v>1367</v>
      </c>
      <c r="C486" s="309">
        <v>42638</v>
      </c>
      <c r="D486" s="308" t="s">
        <v>2753</v>
      </c>
      <c r="E486" s="307">
        <v>1</v>
      </c>
      <c r="F486" s="311">
        <v>650</v>
      </c>
      <c r="G486" s="306">
        <v>60</v>
      </c>
      <c r="H486" s="305"/>
      <c r="I486" s="305"/>
    </row>
    <row r="487" spans="1:9" x14ac:dyDescent="0.2">
      <c r="A487" s="310" t="s">
        <v>1364</v>
      </c>
      <c r="B487" s="310" t="s">
        <v>1367</v>
      </c>
      <c r="C487" s="309">
        <v>42638</v>
      </c>
      <c r="D487" s="308" t="s">
        <v>2785</v>
      </c>
      <c r="E487" s="307">
        <v>1</v>
      </c>
      <c r="F487" s="311">
        <v>650</v>
      </c>
      <c r="G487" s="306">
        <v>60</v>
      </c>
      <c r="H487" s="305"/>
      <c r="I487" s="305"/>
    </row>
    <row r="488" spans="1:9" x14ac:dyDescent="0.2">
      <c r="A488" s="310" t="s">
        <v>1362</v>
      </c>
      <c r="B488" s="310" t="s">
        <v>1365</v>
      </c>
      <c r="C488" s="309">
        <v>42058</v>
      </c>
      <c r="D488" s="308" t="s">
        <v>1614</v>
      </c>
      <c r="E488" s="307">
        <v>1</v>
      </c>
      <c r="F488" s="311">
        <v>400</v>
      </c>
      <c r="G488" s="303">
        <f>72-(12)</f>
        <v>60</v>
      </c>
      <c r="H488" s="305"/>
      <c r="I488" s="305"/>
    </row>
    <row r="489" spans="1:9" x14ac:dyDescent="0.2">
      <c r="A489" s="310" t="s">
        <v>1362</v>
      </c>
      <c r="B489" s="310" t="s">
        <v>1365</v>
      </c>
      <c r="C489" s="309">
        <v>42127</v>
      </c>
      <c r="D489" s="308" t="s">
        <v>1593</v>
      </c>
      <c r="E489" s="307">
        <v>1</v>
      </c>
      <c r="F489" s="311">
        <v>400</v>
      </c>
      <c r="G489" s="303">
        <f>72-(12)</f>
        <v>60</v>
      </c>
      <c r="H489" s="305"/>
      <c r="I489" s="305"/>
    </row>
    <row r="490" spans="1:9" x14ac:dyDescent="0.2">
      <c r="A490" s="310" t="s">
        <v>1362</v>
      </c>
      <c r="B490" s="310" t="s">
        <v>1365</v>
      </c>
      <c r="C490" s="309">
        <v>42268</v>
      </c>
      <c r="D490" s="308" t="s">
        <v>1574</v>
      </c>
      <c r="E490" s="307">
        <v>1</v>
      </c>
      <c r="F490" s="311">
        <v>400</v>
      </c>
      <c r="G490" s="303">
        <f>72-(12)</f>
        <v>60</v>
      </c>
      <c r="H490" s="305"/>
      <c r="I490" s="305"/>
    </row>
    <row r="491" spans="1:9" x14ac:dyDescent="0.2">
      <c r="A491" s="310" t="s">
        <v>1362</v>
      </c>
      <c r="B491" s="310" t="s">
        <v>1365</v>
      </c>
      <c r="C491" s="309">
        <v>42654</v>
      </c>
      <c r="D491" s="308" t="s">
        <v>2904</v>
      </c>
      <c r="E491" s="307">
        <v>1</v>
      </c>
      <c r="F491" s="311">
        <v>400</v>
      </c>
      <c r="G491" s="303">
        <f>72-(12)</f>
        <v>60</v>
      </c>
      <c r="H491" s="305"/>
      <c r="I491" s="305"/>
    </row>
    <row r="492" spans="1:9" x14ac:dyDescent="0.2">
      <c r="A492" s="310" t="s">
        <v>1359</v>
      </c>
      <c r="B492" s="310" t="s">
        <v>1363</v>
      </c>
      <c r="C492" s="309">
        <v>42064</v>
      </c>
      <c r="D492" s="308" t="s">
        <v>1505</v>
      </c>
      <c r="E492" s="307">
        <v>1</v>
      </c>
      <c r="F492" s="311">
        <v>400</v>
      </c>
      <c r="G492" s="307">
        <v>60</v>
      </c>
      <c r="H492" s="305"/>
      <c r="I492" s="305"/>
    </row>
    <row r="493" spans="1:9" x14ac:dyDescent="0.2">
      <c r="A493" s="310" t="s">
        <v>1359</v>
      </c>
      <c r="B493" s="310" t="s">
        <v>1363</v>
      </c>
      <c r="C493" s="309">
        <v>42125</v>
      </c>
      <c r="D493" s="308" t="s">
        <v>1472</v>
      </c>
      <c r="E493" s="307">
        <v>1</v>
      </c>
      <c r="F493" s="311">
        <v>400</v>
      </c>
      <c r="G493" s="307">
        <v>60</v>
      </c>
      <c r="H493" s="305"/>
      <c r="I493" s="305"/>
    </row>
    <row r="494" spans="1:9" x14ac:dyDescent="0.2">
      <c r="A494" s="310" t="s">
        <v>1359</v>
      </c>
      <c r="B494" s="310" t="s">
        <v>1363</v>
      </c>
      <c r="C494" s="309">
        <v>42424</v>
      </c>
      <c r="D494" s="308" t="s">
        <v>2982</v>
      </c>
      <c r="E494" s="307">
        <v>1</v>
      </c>
      <c r="F494" s="311">
        <v>400</v>
      </c>
      <c r="G494" s="307">
        <v>60</v>
      </c>
      <c r="H494" s="305"/>
      <c r="I494" s="305"/>
    </row>
    <row r="495" spans="1:9" x14ac:dyDescent="0.2">
      <c r="A495" s="310" t="s">
        <v>1359</v>
      </c>
      <c r="B495" s="310" t="s">
        <v>1363</v>
      </c>
      <c r="C495" s="309">
        <v>42623</v>
      </c>
      <c r="D495" s="308" t="s">
        <v>3002</v>
      </c>
      <c r="E495" s="307">
        <v>1</v>
      </c>
      <c r="F495" s="311">
        <v>400</v>
      </c>
      <c r="G495" s="307">
        <v>60</v>
      </c>
      <c r="H495" s="305"/>
      <c r="I495" s="305"/>
    </row>
    <row r="496" spans="1:9" x14ac:dyDescent="0.2">
      <c r="A496" s="310" t="s">
        <v>1358</v>
      </c>
      <c r="B496" s="310" t="s">
        <v>1375</v>
      </c>
      <c r="C496" s="309">
        <v>42289</v>
      </c>
      <c r="D496" s="308" t="s">
        <v>1443</v>
      </c>
      <c r="E496" s="307">
        <v>1</v>
      </c>
      <c r="F496" s="311">
        <v>300</v>
      </c>
      <c r="G496" s="307">
        <v>60</v>
      </c>
      <c r="H496" s="305"/>
      <c r="I496" s="305"/>
    </row>
    <row r="497" spans="1:9" x14ac:dyDescent="0.2">
      <c r="A497" s="310" t="s">
        <v>1358</v>
      </c>
      <c r="B497" s="310" t="s">
        <v>1375</v>
      </c>
      <c r="C497" s="309">
        <v>42289</v>
      </c>
      <c r="D497" s="308" t="s">
        <v>1419</v>
      </c>
      <c r="E497" s="307">
        <v>1</v>
      </c>
      <c r="F497" s="311">
        <v>300</v>
      </c>
      <c r="G497" s="307">
        <v>60</v>
      </c>
      <c r="H497" s="305"/>
      <c r="I497" s="305"/>
    </row>
    <row r="498" spans="1:9" x14ac:dyDescent="0.2">
      <c r="A498" s="310" t="s">
        <v>1358</v>
      </c>
      <c r="B498" s="310" t="s">
        <v>1375</v>
      </c>
      <c r="C498" s="309">
        <v>42289</v>
      </c>
      <c r="D498" s="308" t="s">
        <v>1412</v>
      </c>
      <c r="E498" s="307">
        <v>1</v>
      </c>
      <c r="F498" s="311">
        <v>300</v>
      </c>
      <c r="G498" s="307">
        <v>60</v>
      </c>
      <c r="H498" s="305"/>
      <c r="I498" s="305"/>
    </row>
    <row r="499" spans="1:9" x14ac:dyDescent="0.2">
      <c r="A499" s="310" t="s">
        <v>1358</v>
      </c>
      <c r="B499" s="310" t="s">
        <v>1375</v>
      </c>
      <c r="C499" s="309">
        <v>42289</v>
      </c>
      <c r="D499" s="308" t="s">
        <v>1408</v>
      </c>
      <c r="E499" s="307">
        <v>1</v>
      </c>
      <c r="F499" s="311">
        <v>300</v>
      </c>
      <c r="G499" s="307">
        <v>60</v>
      </c>
      <c r="H499" s="305"/>
      <c r="I499" s="305"/>
    </row>
    <row r="500" spans="1:9" x14ac:dyDescent="0.2">
      <c r="A500" s="310" t="s">
        <v>1358</v>
      </c>
      <c r="B500" s="310" t="s">
        <v>1375</v>
      </c>
      <c r="C500" s="309">
        <v>42289</v>
      </c>
      <c r="D500" s="308" t="s">
        <v>1401</v>
      </c>
      <c r="E500" s="307">
        <v>1</v>
      </c>
      <c r="F500" s="311">
        <v>300</v>
      </c>
      <c r="G500" s="307">
        <v>60</v>
      </c>
      <c r="H500" s="305"/>
      <c r="I500" s="305"/>
    </row>
    <row r="501" spans="1:9" x14ac:dyDescent="0.2">
      <c r="A501" s="310" t="s">
        <v>1319</v>
      </c>
      <c r="B501" s="310" t="s">
        <v>1371</v>
      </c>
      <c r="C501" s="309">
        <v>42258</v>
      </c>
      <c r="D501" s="308" t="s">
        <v>1565</v>
      </c>
      <c r="E501" s="307">
        <v>1</v>
      </c>
      <c r="F501" s="311">
        <v>100</v>
      </c>
      <c r="G501" s="306">
        <f>57+(4)</f>
        <v>61</v>
      </c>
      <c r="H501" s="305"/>
      <c r="I501" s="305"/>
    </row>
    <row r="502" spans="1:9" x14ac:dyDescent="0.2">
      <c r="A502" s="310" t="s">
        <v>1319</v>
      </c>
      <c r="B502" s="310" t="s">
        <v>1371</v>
      </c>
      <c r="C502" s="309">
        <v>42258</v>
      </c>
      <c r="D502" s="308" t="s">
        <v>1852</v>
      </c>
      <c r="E502" s="307">
        <v>1</v>
      </c>
      <c r="F502" s="311">
        <v>100</v>
      </c>
      <c r="G502" s="306">
        <f>57+(4)</f>
        <v>61</v>
      </c>
      <c r="H502" s="305"/>
      <c r="I502" s="305"/>
    </row>
    <row r="503" spans="1:9" x14ac:dyDescent="0.2">
      <c r="A503" s="310" t="s">
        <v>1319</v>
      </c>
      <c r="B503" s="310" t="s">
        <v>1371</v>
      </c>
      <c r="C503" s="309">
        <v>42476</v>
      </c>
      <c r="D503" s="308" t="s">
        <v>2113</v>
      </c>
      <c r="E503" s="307">
        <v>1</v>
      </c>
      <c r="F503" s="311">
        <v>120</v>
      </c>
      <c r="G503" s="306">
        <f>57+(4)</f>
        <v>61</v>
      </c>
      <c r="H503" s="305"/>
      <c r="I503" s="305"/>
    </row>
    <row r="504" spans="1:9" x14ac:dyDescent="0.2">
      <c r="A504" s="310" t="s">
        <v>1319</v>
      </c>
      <c r="B504" s="310" t="s">
        <v>1371</v>
      </c>
      <c r="C504" s="309">
        <v>42476</v>
      </c>
      <c r="D504" s="308" t="s">
        <v>2083</v>
      </c>
      <c r="E504" s="307">
        <v>1</v>
      </c>
      <c r="F504" s="311">
        <v>120</v>
      </c>
      <c r="G504" s="306">
        <f>57+(4)</f>
        <v>61</v>
      </c>
      <c r="H504" s="305"/>
      <c r="I504" s="305"/>
    </row>
    <row r="505" spans="1:9" x14ac:dyDescent="0.2">
      <c r="A505" s="310" t="s">
        <v>1319</v>
      </c>
      <c r="B505" s="310" t="s">
        <v>1371</v>
      </c>
      <c r="C505" s="309">
        <v>42476</v>
      </c>
      <c r="D505" s="308" t="s">
        <v>2141</v>
      </c>
      <c r="E505" s="307">
        <v>1</v>
      </c>
      <c r="F505" s="311">
        <v>120</v>
      </c>
      <c r="G505" s="306">
        <f>57+(4)</f>
        <v>61</v>
      </c>
      <c r="H505" s="305"/>
      <c r="I505" s="305"/>
    </row>
    <row r="506" spans="1:9" x14ac:dyDescent="0.2">
      <c r="A506" s="310" t="s">
        <v>1319</v>
      </c>
      <c r="B506" s="310" t="s">
        <v>1367</v>
      </c>
      <c r="C506" s="309">
        <v>42666</v>
      </c>
      <c r="D506" s="308" t="s">
        <v>2160</v>
      </c>
      <c r="E506" s="307">
        <v>1</v>
      </c>
      <c r="F506" s="311">
        <v>120</v>
      </c>
      <c r="G506" s="306">
        <v>61</v>
      </c>
      <c r="H506" s="305"/>
      <c r="I506" s="305"/>
    </row>
    <row r="507" spans="1:9" x14ac:dyDescent="0.2">
      <c r="A507" s="310" t="s">
        <v>1313</v>
      </c>
      <c r="B507" s="310" t="s">
        <v>1361</v>
      </c>
      <c r="C507" s="309">
        <v>42177</v>
      </c>
      <c r="D507" s="308" t="s">
        <v>1708</v>
      </c>
      <c r="E507" s="307">
        <v>1</v>
      </c>
      <c r="F507" s="311">
        <v>200</v>
      </c>
      <c r="G507" s="303">
        <f>66-(5)</f>
        <v>61</v>
      </c>
      <c r="H507" s="305"/>
      <c r="I507" s="305"/>
    </row>
    <row r="508" spans="1:9" x14ac:dyDescent="0.2">
      <c r="A508" s="310" t="s">
        <v>1313</v>
      </c>
      <c r="B508" s="310" t="s">
        <v>1373</v>
      </c>
      <c r="C508" s="309">
        <v>42384</v>
      </c>
      <c r="D508" s="308" t="s">
        <v>2176</v>
      </c>
      <c r="E508" s="307">
        <v>1</v>
      </c>
      <c r="F508" s="311">
        <v>210</v>
      </c>
      <c r="G508" s="306">
        <f>68-(7)</f>
        <v>61</v>
      </c>
      <c r="H508" s="305"/>
      <c r="I508" s="305"/>
    </row>
    <row r="509" spans="1:9" x14ac:dyDescent="0.2">
      <c r="A509" s="310" t="s">
        <v>1313</v>
      </c>
      <c r="B509" s="310" t="s">
        <v>1373</v>
      </c>
      <c r="C509" s="309">
        <v>42384</v>
      </c>
      <c r="D509" s="308" t="s">
        <v>2173</v>
      </c>
      <c r="E509" s="307">
        <v>1</v>
      </c>
      <c r="F509" s="311">
        <v>210</v>
      </c>
      <c r="G509" s="306">
        <f>68-(7)</f>
        <v>61</v>
      </c>
      <c r="H509" s="305"/>
      <c r="I509" s="305"/>
    </row>
    <row r="510" spans="1:9" x14ac:dyDescent="0.2">
      <c r="A510" s="310" t="s">
        <v>1374</v>
      </c>
      <c r="B510" s="310" t="s">
        <v>1369</v>
      </c>
      <c r="C510" s="309">
        <v>42227</v>
      </c>
      <c r="D510" s="308" t="s">
        <v>1858</v>
      </c>
      <c r="E510" s="307">
        <v>1</v>
      </c>
      <c r="F510" s="311">
        <v>300</v>
      </c>
      <c r="G510" s="307">
        <v>61</v>
      </c>
      <c r="H510" s="305"/>
      <c r="I510" s="305"/>
    </row>
    <row r="511" spans="1:9" x14ac:dyDescent="0.2">
      <c r="A511" s="310" t="s">
        <v>1374</v>
      </c>
      <c r="B511" s="310" t="s">
        <v>1369</v>
      </c>
      <c r="C511" s="309">
        <v>42227</v>
      </c>
      <c r="D511" s="308" t="s">
        <v>1612</v>
      </c>
      <c r="E511" s="307">
        <v>1</v>
      </c>
      <c r="F511" s="311">
        <v>300</v>
      </c>
      <c r="G511" s="307">
        <v>61</v>
      </c>
      <c r="H511" s="305"/>
      <c r="I511" s="305"/>
    </row>
    <row r="512" spans="1:9" x14ac:dyDescent="0.2">
      <c r="A512" s="310" t="s">
        <v>1370</v>
      </c>
      <c r="B512" s="310" t="s">
        <v>1361</v>
      </c>
      <c r="C512" s="309">
        <v>42036</v>
      </c>
      <c r="D512" s="308" t="s">
        <v>1498</v>
      </c>
      <c r="E512" s="307">
        <v>1</v>
      </c>
      <c r="F512" s="311">
        <v>500</v>
      </c>
      <c r="G512" s="303">
        <f>66-(5)</f>
        <v>61</v>
      </c>
      <c r="H512" s="305"/>
      <c r="I512" s="305"/>
    </row>
    <row r="513" spans="1:9" x14ac:dyDescent="0.2">
      <c r="A513" s="310" t="s">
        <v>1370</v>
      </c>
      <c r="B513" s="310" t="s">
        <v>1373</v>
      </c>
      <c r="C513" s="309">
        <v>42288</v>
      </c>
      <c r="D513" s="308" t="s">
        <v>1926</v>
      </c>
      <c r="E513" s="307">
        <v>1</v>
      </c>
      <c r="F513" s="311">
        <v>500</v>
      </c>
      <c r="G513" s="306">
        <f>68-(7)</f>
        <v>61</v>
      </c>
      <c r="H513" s="305"/>
      <c r="I513" s="305"/>
    </row>
    <row r="514" spans="1:9" x14ac:dyDescent="0.2">
      <c r="A514" s="310" t="s">
        <v>1370</v>
      </c>
      <c r="B514" s="310" t="s">
        <v>1361</v>
      </c>
      <c r="C514" s="309">
        <v>42447</v>
      </c>
      <c r="D514" s="308" t="s">
        <v>2384</v>
      </c>
      <c r="E514" s="307">
        <v>1</v>
      </c>
      <c r="F514" s="311">
        <v>500</v>
      </c>
      <c r="G514" s="303">
        <f>66-(5)</f>
        <v>61</v>
      </c>
      <c r="H514" s="305"/>
      <c r="I514" s="305"/>
    </row>
    <row r="515" spans="1:9" x14ac:dyDescent="0.2">
      <c r="A515" s="310" t="s">
        <v>1370</v>
      </c>
      <c r="B515" s="310" t="s">
        <v>1373</v>
      </c>
      <c r="C515" s="309">
        <v>42658</v>
      </c>
      <c r="D515" s="308" t="s">
        <v>2346</v>
      </c>
      <c r="E515" s="307">
        <v>1</v>
      </c>
      <c r="F515" s="311">
        <v>500</v>
      </c>
      <c r="G515" s="306">
        <f>68-(7)</f>
        <v>61</v>
      </c>
      <c r="H515" s="305"/>
      <c r="I515" s="305"/>
    </row>
    <row r="516" spans="1:9" x14ac:dyDescent="0.2">
      <c r="A516" s="310" t="s">
        <v>1368</v>
      </c>
      <c r="B516" s="310" t="s">
        <v>1367</v>
      </c>
      <c r="C516" s="309">
        <v>42068</v>
      </c>
      <c r="D516" s="308" t="s">
        <v>1834</v>
      </c>
      <c r="E516" s="307">
        <v>1</v>
      </c>
      <c r="F516" s="311">
        <v>200</v>
      </c>
      <c r="G516" s="306">
        <v>61</v>
      </c>
      <c r="H516" s="305"/>
      <c r="I516" s="305"/>
    </row>
    <row r="517" spans="1:9" x14ac:dyDescent="0.2">
      <c r="A517" s="310" t="s">
        <v>1368</v>
      </c>
      <c r="B517" s="310" t="s">
        <v>1367</v>
      </c>
      <c r="C517" s="309">
        <v>42068</v>
      </c>
      <c r="D517" s="308" t="s">
        <v>1824</v>
      </c>
      <c r="E517" s="307">
        <v>1</v>
      </c>
      <c r="F517" s="311">
        <v>200</v>
      </c>
      <c r="G517" s="306">
        <v>61</v>
      </c>
      <c r="H517" s="305"/>
      <c r="I517" s="305"/>
    </row>
    <row r="518" spans="1:9" x14ac:dyDescent="0.2">
      <c r="A518" s="310" t="s">
        <v>1368</v>
      </c>
      <c r="B518" s="310" t="s">
        <v>1367</v>
      </c>
      <c r="C518" s="309">
        <v>42170</v>
      </c>
      <c r="D518" s="308" t="s">
        <v>1686</v>
      </c>
      <c r="E518" s="307">
        <v>1</v>
      </c>
      <c r="F518" s="311">
        <v>200</v>
      </c>
      <c r="G518" s="306">
        <v>61</v>
      </c>
      <c r="H518" s="305"/>
      <c r="I518" s="305"/>
    </row>
    <row r="519" spans="1:9" x14ac:dyDescent="0.2">
      <c r="A519" s="310" t="s">
        <v>1368</v>
      </c>
      <c r="B519" s="310" t="s">
        <v>1367</v>
      </c>
      <c r="C519" s="309">
        <v>42170</v>
      </c>
      <c r="D519" s="308" t="s">
        <v>1774</v>
      </c>
      <c r="E519" s="307">
        <v>1</v>
      </c>
      <c r="F519" s="311">
        <v>200</v>
      </c>
      <c r="G519" s="306">
        <v>61</v>
      </c>
      <c r="H519" s="305"/>
      <c r="I519" s="305"/>
    </row>
    <row r="520" spans="1:9" x14ac:dyDescent="0.2">
      <c r="A520" s="310" t="s">
        <v>1368</v>
      </c>
      <c r="B520" s="310" t="s">
        <v>1371</v>
      </c>
      <c r="C520" s="309">
        <v>42340</v>
      </c>
      <c r="D520" s="308" t="s">
        <v>1861</v>
      </c>
      <c r="E520" s="307">
        <v>1</v>
      </c>
      <c r="F520" s="311">
        <v>200</v>
      </c>
      <c r="G520" s="306">
        <f>57+(4)</f>
        <v>61</v>
      </c>
      <c r="H520" s="305"/>
      <c r="I520" s="305"/>
    </row>
    <row r="521" spans="1:9" x14ac:dyDescent="0.2">
      <c r="A521" s="310" t="s">
        <v>1368</v>
      </c>
      <c r="B521" s="310" t="s">
        <v>1371</v>
      </c>
      <c r="C521" s="309">
        <v>42412</v>
      </c>
      <c r="D521" s="308" t="s">
        <v>2421</v>
      </c>
      <c r="E521" s="307">
        <v>1</v>
      </c>
      <c r="F521" s="311">
        <v>200</v>
      </c>
      <c r="G521" s="306">
        <f>57+(4)</f>
        <v>61</v>
      </c>
      <c r="H521" s="305"/>
      <c r="I521" s="305"/>
    </row>
    <row r="522" spans="1:9" x14ac:dyDescent="0.2">
      <c r="A522" s="310" t="s">
        <v>1368</v>
      </c>
      <c r="B522" s="310" t="s">
        <v>1371</v>
      </c>
      <c r="C522" s="309">
        <v>42412</v>
      </c>
      <c r="D522" s="308" t="s">
        <v>2434</v>
      </c>
      <c r="E522" s="307">
        <v>1</v>
      </c>
      <c r="F522" s="311">
        <v>200</v>
      </c>
      <c r="G522" s="306">
        <f>57+(4)</f>
        <v>61</v>
      </c>
      <c r="H522" s="305"/>
      <c r="I522" s="305"/>
    </row>
    <row r="523" spans="1:9" x14ac:dyDescent="0.2">
      <c r="A523" s="310" t="s">
        <v>1368</v>
      </c>
      <c r="B523" s="310" t="s">
        <v>1367</v>
      </c>
      <c r="C523" s="309">
        <v>42490</v>
      </c>
      <c r="D523" s="308" t="s">
        <v>2527</v>
      </c>
      <c r="E523" s="307">
        <v>1</v>
      </c>
      <c r="F523" s="311">
        <v>200</v>
      </c>
      <c r="G523" s="306">
        <v>61</v>
      </c>
      <c r="H523" s="305"/>
      <c r="I523" s="305"/>
    </row>
    <row r="524" spans="1:9" x14ac:dyDescent="0.2">
      <c r="A524" s="310" t="s">
        <v>1368</v>
      </c>
      <c r="B524" s="310" t="s">
        <v>1367</v>
      </c>
      <c r="C524" s="309">
        <v>42593</v>
      </c>
      <c r="D524" s="308" t="s">
        <v>2622</v>
      </c>
      <c r="E524" s="307">
        <v>1</v>
      </c>
      <c r="F524" s="311">
        <v>200</v>
      </c>
      <c r="G524" s="306">
        <v>61</v>
      </c>
      <c r="H524" s="305"/>
      <c r="I524" s="305"/>
    </row>
    <row r="525" spans="1:9" x14ac:dyDescent="0.2">
      <c r="A525" s="310" t="s">
        <v>1368</v>
      </c>
      <c r="B525" s="310" t="s">
        <v>1367</v>
      </c>
      <c r="C525" s="309">
        <v>42627</v>
      </c>
      <c r="D525" s="308" t="s">
        <v>2641</v>
      </c>
      <c r="E525" s="307">
        <v>1</v>
      </c>
      <c r="F525" s="311">
        <v>200</v>
      </c>
      <c r="G525" s="306">
        <v>61</v>
      </c>
      <c r="H525" s="305"/>
      <c r="I525" s="305"/>
    </row>
    <row r="526" spans="1:9" x14ac:dyDescent="0.2">
      <c r="A526" s="310" t="s">
        <v>1366</v>
      </c>
      <c r="B526" s="310" t="s">
        <v>1376</v>
      </c>
      <c r="C526" s="309">
        <v>42259</v>
      </c>
      <c r="D526" s="308" t="s">
        <v>1433</v>
      </c>
      <c r="E526" s="307">
        <v>1</v>
      </c>
      <c r="F526" s="311">
        <v>350</v>
      </c>
      <c r="G526" s="306">
        <v>61</v>
      </c>
      <c r="H526" s="305"/>
      <c r="I526" s="305"/>
    </row>
    <row r="527" spans="1:9" x14ac:dyDescent="0.2">
      <c r="A527" s="310" t="s">
        <v>1366</v>
      </c>
      <c r="B527" s="310" t="s">
        <v>1376</v>
      </c>
      <c r="C527" s="309">
        <v>42259</v>
      </c>
      <c r="D527" s="308" t="s">
        <v>1618</v>
      </c>
      <c r="E527" s="307">
        <v>1</v>
      </c>
      <c r="F527" s="311">
        <v>350</v>
      </c>
      <c r="G527" s="306">
        <v>61</v>
      </c>
      <c r="H527" s="305"/>
      <c r="I527" s="305"/>
    </row>
    <row r="528" spans="1:9" x14ac:dyDescent="0.2">
      <c r="A528" s="310" t="s">
        <v>1366</v>
      </c>
      <c r="B528" s="310" t="s">
        <v>1376</v>
      </c>
      <c r="C528" s="309">
        <v>42259</v>
      </c>
      <c r="D528" s="308" t="s">
        <v>1547</v>
      </c>
      <c r="E528" s="307">
        <v>1</v>
      </c>
      <c r="F528" s="311">
        <v>350</v>
      </c>
      <c r="G528" s="306">
        <v>61</v>
      </c>
      <c r="H528" s="305"/>
      <c r="I528" s="305"/>
    </row>
    <row r="529" spans="1:9" x14ac:dyDescent="0.2">
      <c r="A529" s="310" t="s">
        <v>1364</v>
      </c>
      <c r="B529" s="310" t="s">
        <v>1367</v>
      </c>
      <c r="C529" s="309">
        <v>42091</v>
      </c>
      <c r="D529" s="308" t="s">
        <v>1679</v>
      </c>
      <c r="E529" s="307">
        <v>1</v>
      </c>
      <c r="F529" s="311">
        <v>600</v>
      </c>
      <c r="G529" s="306">
        <v>61</v>
      </c>
      <c r="H529" s="305"/>
      <c r="I529" s="305"/>
    </row>
    <row r="530" spans="1:9" x14ac:dyDescent="0.2">
      <c r="A530" s="310" t="s">
        <v>1364</v>
      </c>
      <c r="B530" s="310" t="s">
        <v>1367</v>
      </c>
      <c r="C530" s="309">
        <v>42091</v>
      </c>
      <c r="D530" s="308" t="s">
        <v>1677</v>
      </c>
      <c r="E530" s="307">
        <v>1</v>
      </c>
      <c r="F530" s="311">
        <v>600</v>
      </c>
      <c r="G530" s="306">
        <v>61</v>
      </c>
      <c r="H530" s="305"/>
      <c r="I530" s="305"/>
    </row>
    <row r="531" spans="1:9" x14ac:dyDescent="0.2">
      <c r="A531" s="310" t="s">
        <v>1364</v>
      </c>
      <c r="B531" s="310" t="s">
        <v>1371</v>
      </c>
      <c r="C531" s="309">
        <v>42157</v>
      </c>
      <c r="D531" s="308" t="s">
        <v>1723</v>
      </c>
      <c r="E531" s="307">
        <v>1</v>
      </c>
      <c r="F531" s="311">
        <v>600</v>
      </c>
      <c r="G531" s="306">
        <f>57+(4)</f>
        <v>61</v>
      </c>
      <c r="H531" s="305"/>
      <c r="I531" s="305"/>
    </row>
    <row r="532" spans="1:9" x14ac:dyDescent="0.2">
      <c r="A532" s="310" t="s">
        <v>1364</v>
      </c>
      <c r="B532" s="310" t="s">
        <v>1371</v>
      </c>
      <c r="C532" s="309">
        <v>42157</v>
      </c>
      <c r="D532" s="308" t="s">
        <v>1717</v>
      </c>
      <c r="E532" s="307">
        <v>1</v>
      </c>
      <c r="F532" s="311">
        <v>600</v>
      </c>
      <c r="G532" s="306">
        <f>57+(4)</f>
        <v>61</v>
      </c>
      <c r="H532" s="305"/>
      <c r="I532" s="305"/>
    </row>
    <row r="533" spans="1:9" x14ac:dyDescent="0.2">
      <c r="A533" s="310" t="s">
        <v>1364</v>
      </c>
      <c r="B533" s="310" t="s">
        <v>1371</v>
      </c>
      <c r="C533" s="309">
        <v>42430</v>
      </c>
      <c r="D533" s="308" t="s">
        <v>2731</v>
      </c>
      <c r="E533" s="307">
        <v>1</v>
      </c>
      <c r="F533" s="311">
        <v>650</v>
      </c>
      <c r="G533" s="306">
        <f>57+(4)</f>
        <v>61</v>
      </c>
      <c r="H533" s="305"/>
      <c r="I533" s="305"/>
    </row>
    <row r="534" spans="1:9" x14ac:dyDescent="0.2">
      <c r="A534" s="310" t="s">
        <v>1362</v>
      </c>
      <c r="B534" s="310" t="s">
        <v>1365</v>
      </c>
      <c r="C534" s="309">
        <v>42127</v>
      </c>
      <c r="D534" s="308" t="s">
        <v>1608</v>
      </c>
      <c r="E534" s="307">
        <v>1</v>
      </c>
      <c r="F534" s="311">
        <v>400</v>
      </c>
      <c r="G534" s="303">
        <f>73-(12)</f>
        <v>61</v>
      </c>
      <c r="H534" s="305"/>
      <c r="I534" s="305"/>
    </row>
    <row r="535" spans="1:9" x14ac:dyDescent="0.2">
      <c r="A535" s="310" t="s">
        <v>1362</v>
      </c>
      <c r="B535" s="310" t="s">
        <v>1365</v>
      </c>
      <c r="C535" s="309">
        <v>42127</v>
      </c>
      <c r="D535" s="308" t="s">
        <v>1605</v>
      </c>
      <c r="E535" s="307">
        <v>1</v>
      </c>
      <c r="F535" s="311">
        <v>400</v>
      </c>
      <c r="G535" s="303">
        <f>73-(12)</f>
        <v>61</v>
      </c>
      <c r="H535" s="305"/>
      <c r="I535" s="305"/>
    </row>
    <row r="536" spans="1:9" x14ac:dyDescent="0.2">
      <c r="A536" s="310" t="s">
        <v>1362</v>
      </c>
      <c r="B536" s="310" t="s">
        <v>1365</v>
      </c>
      <c r="C536" s="309">
        <v>42268</v>
      </c>
      <c r="D536" s="308" t="s">
        <v>1583</v>
      </c>
      <c r="E536" s="307">
        <v>1</v>
      </c>
      <c r="F536" s="311">
        <v>400</v>
      </c>
      <c r="G536" s="303">
        <f>73-(12)</f>
        <v>61</v>
      </c>
      <c r="H536" s="305"/>
      <c r="I536" s="305"/>
    </row>
    <row r="537" spans="1:9" x14ac:dyDescent="0.2">
      <c r="A537" s="310" t="s">
        <v>1360</v>
      </c>
      <c r="B537" s="310" t="s">
        <v>1371</v>
      </c>
      <c r="C537" s="309">
        <v>42504</v>
      </c>
      <c r="D537" s="308" t="s">
        <v>2921</v>
      </c>
      <c r="E537" s="307">
        <v>1</v>
      </c>
      <c r="F537" s="311">
        <v>275</v>
      </c>
      <c r="G537" s="306">
        <f>57+(4)</f>
        <v>61</v>
      </c>
      <c r="H537" s="305"/>
      <c r="I537" s="305"/>
    </row>
    <row r="538" spans="1:9" x14ac:dyDescent="0.2">
      <c r="A538" s="310" t="s">
        <v>1359</v>
      </c>
      <c r="B538" s="310" t="s">
        <v>1363</v>
      </c>
      <c r="C538" s="309">
        <v>42125</v>
      </c>
      <c r="D538" s="308" t="s">
        <v>1489</v>
      </c>
      <c r="E538" s="307">
        <v>1</v>
      </c>
      <c r="F538" s="311">
        <v>400</v>
      </c>
      <c r="G538" s="307">
        <v>61</v>
      </c>
      <c r="H538" s="305"/>
      <c r="I538" s="305"/>
    </row>
    <row r="539" spans="1:9" x14ac:dyDescent="0.2">
      <c r="A539" s="310" t="s">
        <v>1359</v>
      </c>
      <c r="B539" s="310" t="s">
        <v>1363</v>
      </c>
      <c r="C539" s="309">
        <v>42623</v>
      </c>
      <c r="D539" s="308" t="s">
        <v>2992</v>
      </c>
      <c r="E539" s="307">
        <v>1</v>
      </c>
      <c r="F539" s="311">
        <v>400</v>
      </c>
      <c r="G539" s="307">
        <v>61</v>
      </c>
      <c r="H539" s="305"/>
      <c r="I539" s="305"/>
    </row>
    <row r="540" spans="1:9" x14ac:dyDescent="0.2">
      <c r="A540" s="310" t="s">
        <v>1359</v>
      </c>
      <c r="B540" s="310" t="s">
        <v>1363</v>
      </c>
      <c r="C540" s="309">
        <v>42623</v>
      </c>
      <c r="D540" s="308" t="s">
        <v>2999</v>
      </c>
      <c r="E540" s="307">
        <v>1</v>
      </c>
      <c r="F540" s="311">
        <v>400</v>
      </c>
      <c r="G540" s="307">
        <v>61</v>
      </c>
      <c r="H540" s="305"/>
      <c r="I540" s="305"/>
    </row>
    <row r="541" spans="1:9" x14ac:dyDescent="0.2">
      <c r="A541" s="310" t="s">
        <v>1358</v>
      </c>
      <c r="B541" s="310" t="s">
        <v>1375</v>
      </c>
      <c r="C541" s="309">
        <v>42648</v>
      </c>
      <c r="D541" s="308" t="s">
        <v>3067</v>
      </c>
      <c r="E541" s="307">
        <v>1</v>
      </c>
      <c r="F541" s="311">
        <v>320</v>
      </c>
      <c r="G541" s="307">
        <v>61</v>
      </c>
      <c r="H541" s="305"/>
      <c r="I541" s="305"/>
    </row>
    <row r="542" spans="1:9" x14ac:dyDescent="0.2">
      <c r="A542" s="310" t="s">
        <v>1319</v>
      </c>
      <c r="B542" s="310" t="s">
        <v>1361</v>
      </c>
      <c r="C542" s="309">
        <v>42019</v>
      </c>
      <c r="D542" s="308" t="s">
        <v>1990</v>
      </c>
      <c r="E542" s="307">
        <v>1</v>
      </c>
      <c r="F542" s="311">
        <v>100</v>
      </c>
      <c r="G542" s="303">
        <f>67-(5)</f>
        <v>62</v>
      </c>
      <c r="H542" s="305"/>
      <c r="I542" s="305"/>
    </row>
    <row r="543" spans="1:9" x14ac:dyDescent="0.2">
      <c r="A543" s="310" t="s">
        <v>1319</v>
      </c>
      <c r="B543" s="310" t="s">
        <v>1373</v>
      </c>
      <c r="C543" s="309">
        <v>42084</v>
      </c>
      <c r="D543" s="308" t="s">
        <v>2019</v>
      </c>
      <c r="E543" s="307">
        <v>1</v>
      </c>
      <c r="F543" s="311">
        <v>100</v>
      </c>
      <c r="G543" s="306">
        <f>69-(7)</f>
        <v>62</v>
      </c>
      <c r="H543" s="305"/>
      <c r="I543" s="305"/>
    </row>
    <row r="544" spans="1:9" x14ac:dyDescent="0.2">
      <c r="A544" s="310" t="s">
        <v>1319</v>
      </c>
      <c r="B544" s="310" t="s">
        <v>1371</v>
      </c>
      <c r="C544" s="309">
        <v>42476</v>
      </c>
      <c r="D544" s="308" t="s">
        <v>2117</v>
      </c>
      <c r="E544" s="307">
        <v>1</v>
      </c>
      <c r="F544" s="311">
        <v>120</v>
      </c>
      <c r="G544" s="306">
        <f>58+(4)</f>
        <v>62</v>
      </c>
      <c r="H544" s="305"/>
      <c r="I544" s="305"/>
    </row>
    <row r="545" spans="1:9" x14ac:dyDescent="0.2">
      <c r="A545" s="310" t="s">
        <v>1319</v>
      </c>
      <c r="B545" s="310" t="s">
        <v>1371</v>
      </c>
      <c r="C545" s="309">
        <v>42476</v>
      </c>
      <c r="D545" s="308" t="s">
        <v>2102</v>
      </c>
      <c r="E545" s="307">
        <v>1</v>
      </c>
      <c r="F545" s="311">
        <v>120</v>
      </c>
      <c r="G545" s="306">
        <f>58+(4)</f>
        <v>62</v>
      </c>
      <c r="H545" s="305"/>
      <c r="I545" s="305"/>
    </row>
    <row r="546" spans="1:9" x14ac:dyDescent="0.2">
      <c r="A546" s="310" t="s">
        <v>1313</v>
      </c>
      <c r="B546" s="310" t="s">
        <v>1373</v>
      </c>
      <c r="C546" s="309">
        <v>42105</v>
      </c>
      <c r="D546" s="308" t="s">
        <v>1451</v>
      </c>
      <c r="E546" s="307">
        <v>1</v>
      </c>
      <c r="F546" s="311">
        <v>200</v>
      </c>
      <c r="G546" s="306">
        <f>69-(7)</f>
        <v>62</v>
      </c>
      <c r="H546" s="305"/>
      <c r="I546" s="305"/>
    </row>
    <row r="547" spans="1:9" x14ac:dyDescent="0.2">
      <c r="A547" s="310" t="s">
        <v>1313</v>
      </c>
      <c r="B547" s="310" t="s">
        <v>1361</v>
      </c>
      <c r="C547" s="309">
        <v>42177</v>
      </c>
      <c r="D547" s="308" t="s">
        <v>1477</v>
      </c>
      <c r="E547" s="307">
        <v>1</v>
      </c>
      <c r="F547" s="311">
        <v>200</v>
      </c>
      <c r="G547" s="303">
        <f>67-(5)</f>
        <v>62</v>
      </c>
      <c r="H547" s="305"/>
      <c r="I547" s="305"/>
    </row>
    <row r="548" spans="1:9" x14ac:dyDescent="0.2">
      <c r="A548" s="310" t="s">
        <v>1374</v>
      </c>
      <c r="B548" s="310" t="s">
        <v>1369</v>
      </c>
      <c r="C548" s="309">
        <v>42227</v>
      </c>
      <c r="D548" s="308" t="s">
        <v>1969</v>
      </c>
      <c r="E548" s="307">
        <v>1</v>
      </c>
      <c r="F548" s="311">
        <v>300</v>
      </c>
      <c r="G548" s="307">
        <v>62</v>
      </c>
      <c r="H548" s="305"/>
      <c r="I548" s="305"/>
    </row>
    <row r="549" spans="1:9" x14ac:dyDescent="0.2">
      <c r="A549" s="310" t="s">
        <v>1374</v>
      </c>
      <c r="B549" s="310" t="s">
        <v>1369</v>
      </c>
      <c r="C549" s="309">
        <v>42531</v>
      </c>
      <c r="D549" s="308" t="s">
        <v>2187</v>
      </c>
      <c r="E549" s="307">
        <v>1</v>
      </c>
      <c r="F549" s="311">
        <v>320</v>
      </c>
      <c r="G549" s="307">
        <v>62</v>
      </c>
      <c r="H549" s="305"/>
      <c r="I549" s="305"/>
    </row>
    <row r="550" spans="1:9" x14ac:dyDescent="0.2">
      <c r="A550" s="310" t="s">
        <v>1372</v>
      </c>
      <c r="B550" s="310" t="s">
        <v>1365</v>
      </c>
      <c r="C550" s="309">
        <v>42056</v>
      </c>
      <c r="D550" s="308" t="s">
        <v>1952</v>
      </c>
      <c r="E550" s="307">
        <v>1</v>
      </c>
      <c r="F550" s="311">
        <v>300</v>
      </c>
      <c r="G550" s="303">
        <f>74-(12)</f>
        <v>62</v>
      </c>
      <c r="H550" s="305"/>
      <c r="I550" s="305"/>
    </row>
    <row r="551" spans="1:9" x14ac:dyDescent="0.2">
      <c r="A551" s="310" t="s">
        <v>1370</v>
      </c>
      <c r="B551" s="310" t="s">
        <v>1361</v>
      </c>
      <c r="C551" s="309">
        <v>42036</v>
      </c>
      <c r="D551" s="308" t="s">
        <v>1916</v>
      </c>
      <c r="E551" s="307">
        <v>1</v>
      </c>
      <c r="F551" s="311">
        <v>500</v>
      </c>
      <c r="G551" s="303">
        <f>67-(5)</f>
        <v>62</v>
      </c>
      <c r="H551" s="305"/>
      <c r="I551" s="305"/>
    </row>
    <row r="552" spans="1:9" x14ac:dyDescent="0.2">
      <c r="A552" s="310" t="s">
        <v>1370</v>
      </c>
      <c r="B552" s="310" t="s">
        <v>1373</v>
      </c>
      <c r="C552" s="309">
        <v>42288</v>
      </c>
      <c r="D552" s="308" t="s">
        <v>1934</v>
      </c>
      <c r="E552" s="307">
        <v>1</v>
      </c>
      <c r="F552" s="311">
        <v>500</v>
      </c>
      <c r="G552" s="306">
        <f>69-(7)</f>
        <v>62</v>
      </c>
      <c r="H552" s="305"/>
      <c r="I552" s="305"/>
    </row>
    <row r="553" spans="1:9" x14ac:dyDescent="0.2">
      <c r="A553" s="310" t="s">
        <v>1370</v>
      </c>
      <c r="B553" s="310" t="s">
        <v>1373</v>
      </c>
      <c r="C553" s="309">
        <v>42658</v>
      </c>
      <c r="D553" s="308" t="s">
        <v>2350</v>
      </c>
      <c r="E553" s="307">
        <v>1</v>
      </c>
      <c r="F553" s="311">
        <v>500</v>
      </c>
      <c r="G553" s="306">
        <f>69-(7)</f>
        <v>62</v>
      </c>
      <c r="H553" s="305"/>
      <c r="I553" s="305"/>
    </row>
    <row r="554" spans="1:9" x14ac:dyDescent="0.2">
      <c r="A554" s="310" t="s">
        <v>1368</v>
      </c>
      <c r="B554" s="310" t="s">
        <v>1367</v>
      </c>
      <c r="C554" s="309">
        <v>42068</v>
      </c>
      <c r="D554" s="308" t="s">
        <v>1817</v>
      </c>
      <c r="E554" s="307">
        <v>1</v>
      </c>
      <c r="F554" s="311">
        <v>200</v>
      </c>
      <c r="G554" s="306">
        <v>62</v>
      </c>
      <c r="H554" s="305"/>
      <c r="I554" s="305"/>
    </row>
    <row r="555" spans="1:9" x14ac:dyDescent="0.2">
      <c r="A555" s="310" t="s">
        <v>1368</v>
      </c>
      <c r="B555" s="310" t="s">
        <v>1367</v>
      </c>
      <c r="C555" s="309">
        <v>42170</v>
      </c>
      <c r="D555" s="308" t="s">
        <v>1798</v>
      </c>
      <c r="E555" s="307">
        <v>1</v>
      </c>
      <c r="F555" s="311">
        <v>200</v>
      </c>
      <c r="G555" s="306">
        <v>62</v>
      </c>
      <c r="H555" s="305"/>
      <c r="I555" s="305"/>
    </row>
    <row r="556" spans="1:9" x14ac:dyDescent="0.2">
      <c r="A556" s="310" t="s">
        <v>1368</v>
      </c>
      <c r="B556" s="310" t="s">
        <v>1367</v>
      </c>
      <c r="C556" s="309">
        <v>42170</v>
      </c>
      <c r="D556" s="308" t="s">
        <v>1773</v>
      </c>
      <c r="E556" s="307">
        <v>1</v>
      </c>
      <c r="F556" s="311">
        <v>200</v>
      </c>
      <c r="G556" s="306">
        <v>62</v>
      </c>
      <c r="H556" s="305"/>
      <c r="I556" s="305"/>
    </row>
    <row r="557" spans="1:9" x14ac:dyDescent="0.2">
      <c r="A557" s="310" t="s">
        <v>1368</v>
      </c>
      <c r="B557" s="310" t="s">
        <v>1367</v>
      </c>
      <c r="C557" s="309">
        <v>42282</v>
      </c>
      <c r="D557" s="308" t="s">
        <v>1764</v>
      </c>
      <c r="E557" s="307">
        <v>1</v>
      </c>
      <c r="F557" s="311">
        <v>200</v>
      </c>
      <c r="G557" s="306">
        <v>62</v>
      </c>
      <c r="H557" s="305"/>
      <c r="I557" s="305"/>
    </row>
    <row r="558" spans="1:9" x14ac:dyDescent="0.2">
      <c r="A558" s="310" t="s">
        <v>1368</v>
      </c>
      <c r="B558" s="310" t="s">
        <v>1371</v>
      </c>
      <c r="C558" s="309">
        <v>42323</v>
      </c>
      <c r="D558" s="308" t="s">
        <v>1636</v>
      </c>
      <c r="E558" s="307">
        <v>1</v>
      </c>
      <c r="F558" s="311">
        <v>200</v>
      </c>
      <c r="G558" s="306">
        <f>58+(4)</f>
        <v>62</v>
      </c>
      <c r="H558" s="305"/>
      <c r="I558" s="305"/>
    </row>
    <row r="559" spans="1:9" x14ac:dyDescent="0.2">
      <c r="A559" s="310" t="s">
        <v>1368</v>
      </c>
      <c r="B559" s="310" t="s">
        <v>1371</v>
      </c>
      <c r="C559" s="309">
        <v>42340</v>
      </c>
      <c r="D559" s="308" t="s">
        <v>1856</v>
      </c>
      <c r="E559" s="307">
        <v>1</v>
      </c>
      <c r="F559" s="311">
        <v>200</v>
      </c>
      <c r="G559" s="306">
        <f>58+(4)</f>
        <v>62</v>
      </c>
      <c r="H559" s="305"/>
      <c r="I559" s="305"/>
    </row>
    <row r="560" spans="1:9" x14ac:dyDescent="0.2">
      <c r="A560" s="310" t="s">
        <v>1368</v>
      </c>
      <c r="B560" s="310" t="s">
        <v>1371</v>
      </c>
      <c r="C560" s="309">
        <v>42412</v>
      </c>
      <c r="D560" s="308" t="s">
        <v>2411</v>
      </c>
      <c r="E560" s="307">
        <v>1</v>
      </c>
      <c r="F560" s="311">
        <v>200</v>
      </c>
      <c r="G560" s="306">
        <f>58+(4)</f>
        <v>62</v>
      </c>
      <c r="H560" s="305"/>
      <c r="I560" s="305"/>
    </row>
    <row r="561" spans="1:9" x14ac:dyDescent="0.2">
      <c r="A561" s="310" t="s">
        <v>1368</v>
      </c>
      <c r="B561" s="310" t="s">
        <v>1367</v>
      </c>
      <c r="C561" s="309">
        <v>42505</v>
      </c>
      <c r="D561" s="308" t="s">
        <v>2542</v>
      </c>
      <c r="E561" s="307">
        <v>1</v>
      </c>
      <c r="F561" s="311">
        <v>200</v>
      </c>
      <c r="G561" s="306">
        <v>62</v>
      </c>
      <c r="H561" s="305"/>
      <c r="I561" s="305"/>
    </row>
    <row r="562" spans="1:9" x14ac:dyDescent="0.2">
      <c r="A562" s="310" t="s">
        <v>1368</v>
      </c>
      <c r="B562" s="310" t="s">
        <v>1367</v>
      </c>
      <c r="C562" s="309">
        <v>42505</v>
      </c>
      <c r="D562" s="308" t="s">
        <v>2551</v>
      </c>
      <c r="E562" s="307">
        <v>1</v>
      </c>
      <c r="F562" s="311">
        <v>200</v>
      </c>
      <c r="G562" s="306">
        <v>62</v>
      </c>
      <c r="H562" s="305"/>
      <c r="I562" s="305"/>
    </row>
    <row r="563" spans="1:9" x14ac:dyDescent="0.2">
      <c r="A563" s="310" t="s">
        <v>1368</v>
      </c>
      <c r="B563" s="310" t="s">
        <v>1367</v>
      </c>
      <c r="C563" s="309">
        <v>42545</v>
      </c>
      <c r="D563" s="308" t="s">
        <v>2572</v>
      </c>
      <c r="E563" s="307">
        <v>1</v>
      </c>
      <c r="F563" s="311">
        <v>200</v>
      </c>
      <c r="G563" s="306">
        <v>62</v>
      </c>
      <c r="H563" s="305"/>
      <c r="I563" s="305"/>
    </row>
    <row r="564" spans="1:9" x14ac:dyDescent="0.2">
      <c r="A564" s="310" t="s">
        <v>1368</v>
      </c>
      <c r="B564" s="310" t="s">
        <v>1367</v>
      </c>
      <c r="C564" s="309">
        <v>42593</v>
      </c>
      <c r="D564" s="308" t="s">
        <v>2162</v>
      </c>
      <c r="E564" s="307">
        <v>1</v>
      </c>
      <c r="F564" s="311">
        <v>200</v>
      </c>
      <c r="G564" s="306">
        <v>62</v>
      </c>
      <c r="H564" s="305"/>
      <c r="I564" s="305"/>
    </row>
    <row r="565" spans="1:9" x14ac:dyDescent="0.2">
      <c r="A565" s="310" t="s">
        <v>1366</v>
      </c>
      <c r="B565" s="310" t="s">
        <v>1376</v>
      </c>
      <c r="C565" s="309">
        <v>42259</v>
      </c>
      <c r="D565" s="308" t="s">
        <v>1740</v>
      </c>
      <c r="E565" s="307">
        <v>1</v>
      </c>
      <c r="F565" s="311">
        <v>350</v>
      </c>
      <c r="G565" s="306">
        <v>62</v>
      </c>
      <c r="H565" s="305"/>
      <c r="I565" s="305"/>
    </row>
    <row r="566" spans="1:9" x14ac:dyDescent="0.2">
      <c r="A566" s="310" t="s">
        <v>1366</v>
      </c>
      <c r="B566" s="310" t="s">
        <v>1376</v>
      </c>
      <c r="C566" s="309">
        <v>42562</v>
      </c>
      <c r="D566" s="308" t="s">
        <v>2675</v>
      </c>
      <c r="E566" s="307">
        <v>1</v>
      </c>
      <c r="F566" s="311">
        <v>380</v>
      </c>
      <c r="G566" s="306">
        <v>62</v>
      </c>
      <c r="H566" s="305"/>
      <c r="I566" s="305"/>
    </row>
    <row r="567" spans="1:9" x14ac:dyDescent="0.2">
      <c r="A567" s="310" t="s">
        <v>1364</v>
      </c>
      <c r="B567" s="310" t="s">
        <v>1367</v>
      </c>
      <c r="C567" s="309">
        <v>42091</v>
      </c>
      <c r="D567" s="308" t="s">
        <v>1634</v>
      </c>
      <c r="E567" s="307">
        <v>1</v>
      </c>
      <c r="F567" s="311">
        <v>600</v>
      </c>
      <c r="G567" s="306">
        <v>62</v>
      </c>
      <c r="H567" s="305"/>
      <c r="I567" s="305"/>
    </row>
    <row r="568" spans="1:9" x14ac:dyDescent="0.2">
      <c r="A568" s="310" t="s">
        <v>1364</v>
      </c>
      <c r="B568" s="310" t="s">
        <v>1371</v>
      </c>
      <c r="C568" s="309">
        <v>42265</v>
      </c>
      <c r="D568" s="308" t="s">
        <v>1701</v>
      </c>
      <c r="E568" s="307">
        <v>1</v>
      </c>
      <c r="F568" s="311">
        <v>600</v>
      </c>
      <c r="G568" s="306">
        <f>58+(4)</f>
        <v>62</v>
      </c>
      <c r="H568" s="305"/>
      <c r="I568" s="305"/>
    </row>
    <row r="569" spans="1:9" x14ac:dyDescent="0.2">
      <c r="A569" s="310" t="s">
        <v>1364</v>
      </c>
      <c r="B569" s="310" t="s">
        <v>1367</v>
      </c>
      <c r="C569" s="309">
        <v>42638</v>
      </c>
      <c r="D569" s="308" t="s">
        <v>2750</v>
      </c>
      <c r="E569" s="307">
        <v>1</v>
      </c>
      <c r="F569" s="311">
        <v>650</v>
      </c>
      <c r="G569" s="306">
        <v>62</v>
      </c>
      <c r="H569" s="305"/>
      <c r="I569" s="305"/>
    </row>
    <row r="570" spans="1:9" x14ac:dyDescent="0.2">
      <c r="A570" s="310" t="s">
        <v>1362</v>
      </c>
      <c r="B570" s="310" t="s">
        <v>1365</v>
      </c>
      <c r="C570" s="309">
        <v>42058</v>
      </c>
      <c r="D570" s="308" t="s">
        <v>1620</v>
      </c>
      <c r="E570" s="307">
        <v>1</v>
      </c>
      <c r="F570" s="311">
        <v>400</v>
      </c>
      <c r="G570" s="303">
        <f>74-(12)</f>
        <v>62</v>
      </c>
      <c r="H570" s="305"/>
      <c r="I570" s="305"/>
    </row>
    <row r="571" spans="1:9" x14ac:dyDescent="0.2">
      <c r="A571" s="310" t="s">
        <v>1362</v>
      </c>
      <c r="B571" s="310" t="s">
        <v>1365</v>
      </c>
      <c r="C571" s="309">
        <v>42268</v>
      </c>
      <c r="D571" s="308" t="s">
        <v>1427</v>
      </c>
      <c r="E571" s="307">
        <v>1</v>
      </c>
      <c r="F571" s="311">
        <v>400</v>
      </c>
      <c r="G571" s="303">
        <f>74-(12)</f>
        <v>62</v>
      </c>
      <c r="H571" s="305"/>
      <c r="I571" s="305"/>
    </row>
    <row r="572" spans="1:9" x14ac:dyDescent="0.2">
      <c r="A572" s="310" t="s">
        <v>1362</v>
      </c>
      <c r="B572" s="310" t="s">
        <v>1365</v>
      </c>
      <c r="C572" s="309">
        <v>42592</v>
      </c>
      <c r="D572" s="308" t="s">
        <v>2837</v>
      </c>
      <c r="E572" s="307">
        <v>1</v>
      </c>
      <c r="F572" s="311">
        <v>400</v>
      </c>
      <c r="G572" s="303">
        <f>74-(12)</f>
        <v>62</v>
      </c>
      <c r="H572" s="305"/>
      <c r="I572" s="305"/>
    </row>
    <row r="573" spans="1:9" x14ac:dyDescent="0.2">
      <c r="A573" s="310" t="s">
        <v>1362</v>
      </c>
      <c r="B573" s="310" t="s">
        <v>1365</v>
      </c>
      <c r="C573" s="309">
        <v>42592</v>
      </c>
      <c r="D573" s="308" t="s">
        <v>2838</v>
      </c>
      <c r="E573" s="307">
        <v>1</v>
      </c>
      <c r="F573" s="311">
        <v>400</v>
      </c>
      <c r="G573" s="303">
        <f>74-(12)</f>
        <v>62</v>
      </c>
      <c r="H573" s="305"/>
      <c r="I573" s="305"/>
    </row>
    <row r="574" spans="1:9" x14ac:dyDescent="0.2">
      <c r="A574" s="310" t="s">
        <v>1362</v>
      </c>
      <c r="B574" s="310" t="s">
        <v>1365</v>
      </c>
      <c r="C574" s="309">
        <v>42654</v>
      </c>
      <c r="D574" s="308" t="s">
        <v>2854</v>
      </c>
      <c r="E574" s="307">
        <v>1</v>
      </c>
      <c r="F574" s="311">
        <v>400</v>
      </c>
      <c r="G574" s="303">
        <f>74-(12)</f>
        <v>62</v>
      </c>
      <c r="H574" s="305"/>
      <c r="I574" s="305"/>
    </row>
    <row r="575" spans="1:9" x14ac:dyDescent="0.2">
      <c r="A575" s="310" t="s">
        <v>1360</v>
      </c>
      <c r="B575" s="310" t="s">
        <v>1371</v>
      </c>
      <c r="C575" s="309">
        <v>42504</v>
      </c>
      <c r="D575" s="308" t="s">
        <v>2931</v>
      </c>
      <c r="E575" s="307">
        <v>1</v>
      </c>
      <c r="F575" s="311">
        <v>275</v>
      </c>
      <c r="G575" s="306">
        <f>58+(4)</f>
        <v>62</v>
      </c>
      <c r="H575" s="305"/>
      <c r="I575" s="305"/>
    </row>
    <row r="576" spans="1:9" x14ac:dyDescent="0.2">
      <c r="A576" s="310" t="s">
        <v>1359</v>
      </c>
      <c r="B576" s="310" t="s">
        <v>1363</v>
      </c>
      <c r="C576" s="309">
        <v>42424</v>
      </c>
      <c r="D576" s="308" t="s">
        <v>2944</v>
      </c>
      <c r="E576" s="307">
        <v>1</v>
      </c>
      <c r="F576" s="311">
        <v>400</v>
      </c>
      <c r="G576" s="307">
        <v>62</v>
      </c>
      <c r="H576" s="305"/>
      <c r="I576" s="305"/>
    </row>
    <row r="577" spans="1:9" x14ac:dyDescent="0.2">
      <c r="A577" s="310" t="s">
        <v>1358</v>
      </c>
      <c r="B577" s="310" t="s">
        <v>1375</v>
      </c>
      <c r="C577" s="309">
        <v>42289</v>
      </c>
      <c r="D577" s="308" t="s">
        <v>1407</v>
      </c>
      <c r="E577" s="307">
        <v>1</v>
      </c>
      <c r="F577" s="311">
        <v>300</v>
      </c>
      <c r="G577" s="307">
        <v>62</v>
      </c>
      <c r="H577" s="305"/>
      <c r="I577" s="305"/>
    </row>
    <row r="578" spans="1:9" x14ac:dyDescent="0.2">
      <c r="A578" s="310" t="s">
        <v>1358</v>
      </c>
      <c r="B578" s="310" t="s">
        <v>1375</v>
      </c>
      <c r="C578" s="309">
        <v>42544</v>
      </c>
      <c r="D578" s="308" t="s">
        <v>3056</v>
      </c>
      <c r="E578" s="307">
        <v>1</v>
      </c>
      <c r="F578" s="311">
        <v>320</v>
      </c>
      <c r="G578" s="307">
        <v>62</v>
      </c>
      <c r="H578" s="305"/>
      <c r="I578" s="305"/>
    </row>
    <row r="579" spans="1:9" x14ac:dyDescent="0.2">
      <c r="A579" s="310" t="s">
        <v>1358</v>
      </c>
      <c r="B579" s="310" t="s">
        <v>1375</v>
      </c>
      <c r="C579" s="309">
        <v>42544</v>
      </c>
      <c r="D579" s="308" t="s">
        <v>3048</v>
      </c>
      <c r="E579" s="307">
        <v>1</v>
      </c>
      <c r="F579" s="311">
        <v>320</v>
      </c>
      <c r="G579" s="307">
        <v>62</v>
      </c>
      <c r="H579" s="305"/>
      <c r="I579" s="305"/>
    </row>
    <row r="580" spans="1:9" x14ac:dyDescent="0.2">
      <c r="A580" s="310" t="s">
        <v>1358</v>
      </c>
      <c r="B580" s="310" t="s">
        <v>1375</v>
      </c>
      <c r="C580" s="309">
        <v>42544</v>
      </c>
      <c r="D580" s="308" t="s">
        <v>3036</v>
      </c>
      <c r="E580" s="307">
        <v>1</v>
      </c>
      <c r="F580" s="311">
        <v>320</v>
      </c>
      <c r="G580" s="307">
        <v>62</v>
      </c>
      <c r="H580" s="305"/>
      <c r="I580" s="305"/>
    </row>
    <row r="581" spans="1:9" x14ac:dyDescent="0.2">
      <c r="A581" s="310" t="s">
        <v>1319</v>
      </c>
      <c r="B581" s="310" t="s">
        <v>1373</v>
      </c>
      <c r="C581" s="309">
        <v>42084</v>
      </c>
      <c r="D581" s="308" t="s">
        <v>1624</v>
      </c>
      <c r="E581" s="307">
        <v>1</v>
      </c>
      <c r="F581" s="311">
        <v>100</v>
      </c>
      <c r="G581" s="306">
        <f>70-(7)</f>
        <v>63</v>
      </c>
      <c r="H581" s="305"/>
      <c r="I581" s="305"/>
    </row>
    <row r="582" spans="1:9" x14ac:dyDescent="0.2">
      <c r="A582" s="310" t="s">
        <v>1319</v>
      </c>
      <c r="B582" s="310" t="s">
        <v>1373</v>
      </c>
      <c r="C582" s="309">
        <v>42415</v>
      </c>
      <c r="D582" s="308" t="s">
        <v>2054</v>
      </c>
      <c r="E582" s="307">
        <v>1</v>
      </c>
      <c r="F582" s="311">
        <v>120</v>
      </c>
      <c r="G582" s="306">
        <f>70-(7)</f>
        <v>63</v>
      </c>
      <c r="H582" s="305"/>
      <c r="I582" s="305"/>
    </row>
    <row r="583" spans="1:9" x14ac:dyDescent="0.2">
      <c r="A583" s="310" t="s">
        <v>1319</v>
      </c>
      <c r="B583" s="310" t="s">
        <v>1371</v>
      </c>
      <c r="C583" s="309">
        <v>42476</v>
      </c>
      <c r="D583" s="308" t="s">
        <v>2096</v>
      </c>
      <c r="E583" s="307">
        <v>1</v>
      </c>
      <c r="F583" s="311">
        <v>120</v>
      </c>
      <c r="G583" s="306">
        <f>59+(4)</f>
        <v>63</v>
      </c>
      <c r="H583" s="305"/>
      <c r="I583" s="305"/>
    </row>
    <row r="584" spans="1:9" x14ac:dyDescent="0.2">
      <c r="A584" s="310" t="s">
        <v>1319</v>
      </c>
      <c r="B584" s="310" t="s">
        <v>1371</v>
      </c>
      <c r="C584" s="309">
        <v>42476</v>
      </c>
      <c r="D584" s="308" t="s">
        <v>2129</v>
      </c>
      <c r="E584" s="307">
        <v>1</v>
      </c>
      <c r="F584" s="311">
        <v>120</v>
      </c>
      <c r="G584" s="306">
        <f>59+(4)</f>
        <v>63</v>
      </c>
      <c r="H584" s="305"/>
      <c r="I584" s="305"/>
    </row>
    <row r="585" spans="1:9" x14ac:dyDescent="0.2">
      <c r="A585" s="310" t="s">
        <v>1319</v>
      </c>
      <c r="B585" s="310" t="s">
        <v>1371</v>
      </c>
      <c r="C585" s="309">
        <v>42476</v>
      </c>
      <c r="D585" s="308" t="s">
        <v>2120</v>
      </c>
      <c r="E585" s="307">
        <v>1</v>
      </c>
      <c r="F585" s="311">
        <v>120</v>
      </c>
      <c r="G585" s="306">
        <f>59+(4)</f>
        <v>63</v>
      </c>
      <c r="H585" s="305"/>
      <c r="I585" s="305"/>
    </row>
    <row r="586" spans="1:9" x14ac:dyDescent="0.2">
      <c r="A586" s="310" t="s">
        <v>1313</v>
      </c>
      <c r="B586" s="310" t="s">
        <v>1373</v>
      </c>
      <c r="C586" s="309">
        <v>42105</v>
      </c>
      <c r="D586" s="308" t="s">
        <v>1734</v>
      </c>
      <c r="E586" s="307">
        <v>1</v>
      </c>
      <c r="F586" s="311">
        <v>200</v>
      </c>
      <c r="G586" s="306">
        <f>70-(7)</f>
        <v>63</v>
      </c>
      <c r="H586" s="305"/>
      <c r="I586" s="305"/>
    </row>
    <row r="587" spans="1:9" x14ac:dyDescent="0.2">
      <c r="A587" s="310" t="s">
        <v>1313</v>
      </c>
      <c r="B587" s="310" t="s">
        <v>1361</v>
      </c>
      <c r="C587" s="309">
        <v>42636</v>
      </c>
      <c r="D587" s="308" t="s">
        <v>2206</v>
      </c>
      <c r="E587" s="307">
        <v>1</v>
      </c>
      <c r="F587" s="311">
        <v>210</v>
      </c>
      <c r="G587" s="303">
        <f>68-(5)</f>
        <v>63</v>
      </c>
      <c r="H587" s="305"/>
      <c r="I587" s="305"/>
    </row>
    <row r="588" spans="1:9" x14ac:dyDescent="0.2">
      <c r="A588" s="310" t="s">
        <v>1374</v>
      </c>
      <c r="B588" s="310" t="s">
        <v>1369</v>
      </c>
      <c r="C588" s="309">
        <v>42227</v>
      </c>
      <c r="D588" s="308" t="s">
        <v>1963</v>
      </c>
      <c r="E588" s="307">
        <v>1</v>
      </c>
      <c r="F588" s="311">
        <v>300</v>
      </c>
      <c r="G588" s="307">
        <v>63</v>
      </c>
      <c r="H588" s="305"/>
      <c r="I588" s="305"/>
    </row>
    <row r="589" spans="1:9" x14ac:dyDescent="0.2">
      <c r="A589" s="310" t="s">
        <v>1374</v>
      </c>
      <c r="B589" s="310" t="s">
        <v>1369</v>
      </c>
      <c r="C589" s="309">
        <v>42531</v>
      </c>
      <c r="D589" s="308" t="s">
        <v>2258</v>
      </c>
      <c r="E589" s="307">
        <v>1</v>
      </c>
      <c r="F589" s="311">
        <v>320</v>
      </c>
      <c r="G589" s="307">
        <v>63</v>
      </c>
      <c r="H589" s="305"/>
      <c r="I589" s="305"/>
    </row>
    <row r="590" spans="1:9" x14ac:dyDescent="0.2">
      <c r="A590" s="310" t="s">
        <v>1374</v>
      </c>
      <c r="B590" s="310" t="s">
        <v>1369</v>
      </c>
      <c r="C590" s="309">
        <v>42531</v>
      </c>
      <c r="D590" s="308" t="s">
        <v>2228</v>
      </c>
      <c r="E590" s="307">
        <v>1</v>
      </c>
      <c r="F590" s="311">
        <v>320</v>
      </c>
      <c r="G590" s="307">
        <v>63</v>
      </c>
      <c r="H590" s="305"/>
      <c r="I590" s="305"/>
    </row>
    <row r="591" spans="1:9" x14ac:dyDescent="0.2">
      <c r="A591" s="310" t="s">
        <v>1374</v>
      </c>
      <c r="B591" s="310" t="s">
        <v>1369</v>
      </c>
      <c r="C591" s="309">
        <v>42531</v>
      </c>
      <c r="D591" s="308" t="s">
        <v>2250</v>
      </c>
      <c r="E591" s="307">
        <v>1</v>
      </c>
      <c r="F591" s="311">
        <v>320</v>
      </c>
      <c r="G591" s="307">
        <v>63</v>
      </c>
      <c r="H591" s="305"/>
      <c r="I591" s="305"/>
    </row>
    <row r="592" spans="1:9" x14ac:dyDescent="0.2">
      <c r="A592" s="310" t="s">
        <v>1372</v>
      </c>
      <c r="B592" s="310" t="s">
        <v>1365</v>
      </c>
      <c r="C592" s="309">
        <v>42056</v>
      </c>
      <c r="D592" s="308" t="s">
        <v>1666</v>
      </c>
      <c r="E592" s="307">
        <v>1</v>
      </c>
      <c r="F592" s="311">
        <v>300</v>
      </c>
      <c r="G592" s="303">
        <f>75-(12)</f>
        <v>63</v>
      </c>
      <c r="H592" s="305"/>
      <c r="I592" s="305"/>
    </row>
    <row r="593" spans="1:9" x14ac:dyDescent="0.2">
      <c r="A593" s="310" t="s">
        <v>1372</v>
      </c>
      <c r="B593" s="310" t="s">
        <v>1363</v>
      </c>
      <c r="C593" s="309">
        <v>42271</v>
      </c>
      <c r="D593" s="308" t="s">
        <v>1605</v>
      </c>
      <c r="E593" s="307">
        <v>1</v>
      </c>
      <c r="F593" s="311">
        <v>300</v>
      </c>
      <c r="G593" s="307">
        <v>63</v>
      </c>
      <c r="H593" s="305"/>
      <c r="I593" s="305"/>
    </row>
    <row r="594" spans="1:9" x14ac:dyDescent="0.2">
      <c r="A594" s="310" t="s">
        <v>1372</v>
      </c>
      <c r="B594" s="310" t="s">
        <v>1363</v>
      </c>
      <c r="C594" s="309">
        <v>42271</v>
      </c>
      <c r="D594" s="308" t="s">
        <v>1742</v>
      </c>
      <c r="E594" s="307">
        <v>1</v>
      </c>
      <c r="F594" s="311">
        <v>300</v>
      </c>
      <c r="G594" s="307">
        <v>63</v>
      </c>
      <c r="H594" s="305"/>
      <c r="I594" s="305"/>
    </row>
    <row r="595" spans="1:9" x14ac:dyDescent="0.2">
      <c r="A595" s="310" t="s">
        <v>1372</v>
      </c>
      <c r="B595" s="310" t="s">
        <v>1363</v>
      </c>
      <c r="C595" s="309">
        <v>42271</v>
      </c>
      <c r="D595" s="308" t="s">
        <v>1937</v>
      </c>
      <c r="E595" s="307">
        <v>1</v>
      </c>
      <c r="F595" s="311">
        <v>300</v>
      </c>
      <c r="G595" s="307">
        <v>63</v>
      </c>
      <c r="H595" s="305"/>
      <c r="I595" s="305"/>
    </row>
    <row r="596" spans="1:9" x14ac:dyDescent="0.2">
      <c r="A596" s="310" t="s">
        <v>1372</v>
      </c>
      <c r="B596" s="310" t="s">
        <v>1365</v>
      </c>
      <c r="C596" s="309">
        <v>42488</v>
      </c>
      <c r="D596" s="308" t="s">
        <v>2269</v>
      </c>
      <c r="E596" s="307">
        <v>1</v>
      </c>
      <c r="F596" s="311">
        <v>310</v>
      </c>
      <c r="G596" s="303">
        <f>75-(12)</f>
        <v>63</v>
      </c>
      <c r="H596" s="305"/>
      <c r="I596" s="305"/>
    </row>
    <row r="597" spans="1:9" x14ac:dyDescent="0.2">
      <c r="A597" s="310" t="s">
        <v>1372</v>
      </c>
      <c r="B597" s="310" t="s">
        <v>1363</v>
      </c>
      <c r="C597" s="309">
        <v>42685</v>
      </c>
      <c r="D597" s="308" t="s">
        <v>2298</v>
      </c>
      <c r="E597" s="307">
        <v>1</v>
      </c>
      <c r="F597" s="311">
        <v>310</v>
      </c>
      <c r="G597" s="307">
        <v>63</v>
      </c>
      <c r="H597" s="305"/>
      <c r="I597" s="305"/>
    </row>
    <row r="598" spans="1:9" x14ac:dyDescent="0.2">
      <c r="A598" s="310" t="s">
        <v>1370</v>
      </c>
      <c r="B598" s="310" t="s">
        <v>1361</v>
      </c>
      <c r="C598" s="309">
        <v>42036</v>
      </c>
      <c r="D598" s="308" t="s">
        <v>1548</v>
      </c>
      <c r="E598" s="307">
        <v>1</v>
      </c>
      <c r="F598" s="311">
        <v>500</v>
      </c>
      <c r="G598" s="303">
        <f>68-(5)</f>
        <v>63</v>
      </c>
      <c r="H598" s="305"/>
      <c r="I598" s="305"/>
    </row>
    <row r="599" spans="1:9" x14ac:dyDescent="0.2">
      <c r="A599" s="310" t="s">
        <v>1370</v>
      </c>
      <c r="B599" s="310" t="s">
        <v>1361</v>
      </c>
      <c r="C599" s="309">
        <v>42139</v>
      </c>
      <c r="D599" s="308" t="s">
        <v>1907</v>
      </c>
      <c r="E599" s="307">
        <v>1</v>
      </c>
      <c r="F599" s="311">
        <v>500</v>
      </c>
      <c r="G599" s="303">
        <f>68-(5)</f>
        <v>63</v>
      </c>
      <c r="H599" s="305"/>
      <c r="I599" s="305"/>
    </row>
    <row r="600" spans="1:9" x14ac:dyDescent="0.2">
      <c r="A600" s="310" t="s">
        <v>1370</v>
      </c>
      <c r="B600" s="310" t="s">
        <v>1373</v>
      </c>
      <c r="C600" s="309">
        <v>42658</v>
      </c>
      <c r="D600" s="308" t="s">
        <v>2171</v>
      </c>
      <c r="E600" s="307">
        <v>1</v>
      </c>
      <c r="F600" s="311">
        <v>500</v>
      </c>
      <c r="G600" s="306">
        <f>70-(7)</f>
        <v>63</v>
      </c>
      <c r="H600" s="305"/>
      <c r="I600" s="305"/>
    </row>
    <row r="601" spans="1:9" x14ac:dyDescent="0.2">
      <c r="A601" s="310" t="s">
        <v>1368</v>
      </c>
      <c r="B601" s="310" t="s">
        <v>1367</v>
      </c>
      <c r="C601" s="309">
        <v>42170</v>
      </c>
      <c r="D601" s="308" t="s">
        <v>1637</v>
      </c>
      <c r="E601" s="307">
        <v>1</v>
      </c>
      <c r="F601" s="311">
        <v>200</v>
      </c>
      <c r="G601" s="306">
        <v>63</v>
      </c>
      <c r="H601" s="305"/>
      <c r="I601" s="305"/>
    </row>
    <row r="602" spans="1:9" x14ac:dyDescent="0.2">
      <c r="A602" s="310" t="s">
        <v>1368</v>
      </c>
      <c r="B602" s="310" t="s">
        <v>1367</v>
      </c>
      <c r="C602" s="309">
        <v>42170</v>
      </c>
      <c r="D602" s="308" t="s">
        <v>1776</v>
      </c>
      <c r="E602" s="307">
        <v>1</v>
      </c>
      <c r="F602" s="311">
        <v>200</v>
      </c>
      <c r="G602" s="306">
        <v>63</v>
      </c>
      <c r="H602" s="305"/>
      <c r="I602" s="305"/>
    </row>
    <row r="603" spans="1:9" x14ac:dyDescent="0.2">
      <c r="A603" s="310" t="s">
        <v>1368</v>
      </c>
      <c r="B603" s="310" t="s">
        <v>1371</v>
      </c>
      <c r="C603" s="309">
        <v>42323</v>
      </c>
      <c r="D603" s="308" t="s">
        <v>1425</v>
      </c>
      <c r="E603" s="307">
        <v>1</v>
      </c>
      <c r="F603" s="311">
        <v>200</v>
      </c>
      <c r="G603" s="306">
        <f>59+(4)</f>
        <v>63</v>
      </c>
      <c r="H603" s="305"/>
      <c r="I603" s="305"/>
    </row>
    <row r="604" spans="1:9" x14ac:dyDescent="0.2">
      <c r="A604" s="310" t="s">
        <v>1368</v>
      </c>
      <c r="B604" s="310" t="s">
        <v>1371</v>
      </c>
      <c r="C604" s="309">
        <v>42340</v>
      </c>
      <c r="D604" s="308" t="s">
        <v>1470</v>
      </c>
      <c r="E604" s="307">
        <v>1</v>
      </c>
      <c r="F604" s="311">
        <v>200</v>
      </c>
      <c r="G604" s="306">
        <f>59+(4)</f>
        <v>63</v>
      </c>
      <c r="H604" s="305"/>
      <c r="I604" s="305"/>
    </row>
    <row r="605" spans="1:9" x14ac:dyDescent="0.2">
      <c r="A605" s="310" t="s">
        <v>1368</v>
      </c>
      <c r="B605" s="310" t="s">
        <v>1371</v>
      </c>
      <c r="C605" s="309">
        <v>42340</v>
      </c>
      <c r="D605" s="308" t="s">
        <v>1456</v>
      </c>
      <c r="E605" s="307">
        <v>1</v>
      </c>
      <c r="F605" s="311">
        <v>200</v>
      </c>
      <c r="G605" s="306">
        <f>59+(4)</f>
        <v>63</v>
      </c>
      <c r="H605" s="305"/>
      <c r="I605" s="305"/>
    </row>
    <row r="606" spans="1:9" x14ac:dyDescent="0.2">
      <c r="A606" s="310" t="s">
        <v>1368</v>
      </c>
      <c r="B606" s="310" t="s">
        <v>1371</v>
      </c>
      <c r="C606" s="309">
        <v>42340</v>
      </c>
      <c r="D606" s="308" t="s">
        <v>1842</v>
      </c>
      <c r="E606" s="307">
        <v>1</v>
      </c>
      <c r="F606" s="311">
        <v>200</v>
      </c>
      <c r="G606" s="306">
        <f>59+(4)</f>
        <v>63</v>
      </c>
      <c r="H606" s="305"/>
      <c r="I606" s="305"/>
    </row>
    <row r="607" spans="1:9" x14ac:dyDescent="0.2">
      <c r="A607" s="310" t="s">
        <v>1368</v>
      </c>
      <c r="B607" s="310" t="s">
        <v>1371</v>
      </c>
      <c r="C607" s="309">
        <v>42412</v>
      </c>
      <c r="D607" s="308" t="s">
        <v>2453</v>
      </c>
      <c r="E607" s="307">
        <v>1</v>
      </c>
      <c r="F607" s="311">
        <v>200</v>
      </c>
      <c r="G607" s="306">
        <f>59+(4)</f>
        <v>63</v>
      </c>
      <c r="H607" s="305"/>
      <c r="I607" s="305"/>
    </row>
    <row r="608" spans="1:9" x14ac:dyDescent="0.2">
      <c r="A608" s="310" t="s">
        <v>1368</v>
      </c>
      <c r="B608" s="310" t="s">
        <v>1367</v>
      </c>
      <c r="C608" s="309">
        <v>42439</v>
      </c>
      <c r="D608" s="308" t="s">
        <v>2471</v>
      </c>
      <c r="E608" s="307">
        <v>1</v>
      </c>
      <c r="F608" s="311">
        <v>200</v>
      </c>
      <c r="G608" s="306">
        <v>63</v>
      </c>
      <c r="H608" s="305"/>
      <c r="I608" s="305"/>
    </row>
    <row r="609" spans="1:9" x14ac:dyDescent="0.2">
      <c r="A609" s="310" t="s">
        <v>1368</v>
      </c>
      <c r="B609" s="310" t="s">
        <v>1367</v>
      </c>
      <c r="C609" s="309">
        <v>42439</v>
      </c>
      <c r="D609" s="308" t="s">
        <v>2472</v>
      </c>
      <c r="E609" s="307">
        <v>1</v>
      </c>
      <c r="F609" s="311">
        <v>200</v>
      </c>
      <c r="G609" s="306">
        <v>63</v>
      </c>
      <c r="H609" s="305"/>
      <c r="I609" s="305"/>
    </row>
    <row r="610" spans="1:9" x14ac:dyDescent="0.2">
      <c r="A610" s="310" t="s">
        <v>1368</v>
      </c>
      <c r="B610" s="310" t="s">
        <v>1367</v>
      </c>
      <c r="C610" s="309">
        <v>42439</v>
      </c>
      <c r="D610" s="308" t="s">
        <v>2468</v>
      </c>
      <c r="E610" s="307">
        <v>1</v>
      </c>
      <c r="F610" s="311">
        <v>200</v>
      </c>
      <c r="G610" s="306">
        <v>63</v>
      </c>
      <c r="H610" s="305"/>
      <c r="I610" s="305"/>
    </row>
    <row r="611" spans="1:9" x14ac:dyDescent="0.2">
      <c r="A611" s="310" t="s">
        <v>1368</v>
      </c>
      <c r="B611" s="310" t="s">
        <v>1367</v>
      </c>
      <c r="C611" s="309">
        <v>42490</v>
      </c>
      <c r="D611" s="308" t="s">
        <v>2523</v>
      </c>
      <c r="E611" s="307">
        <v>1</v>
      </c>
      <c r="F611" s="311">
        <v>200</v>
      </c>
      <c r="G611" s="306">
        <v>63</v>
      </c>
      <c r="H611" s="305"/>
      <c r="I611" s="305"/>
    </row>
    <row r="612" spans="1:9" x14ac:dyDescent="0.2">
      <c r="A612" s="310" t="s">
        <v>1368</v>
      </c>
      <c r="B612" s="310" t="s">
        <v>1367</v>
      </c>
      <c r="C612" s="309">
        <v>42505</v>
      </c>
      <c r="D612" s="308" t="s">
        <v>2558</v>
      </c>
      <c r="E612" s="307">
        <v>1</v>
      </c>
      <c r="F612" s="311">
        <v>200</v>
      </c>
      <c r="G612" s="306">
        <v>63</v>
      </c>
      <c r="H612" s="305"/>
      <c r="I612" s="305"/>
    </row>
    <row r="613" spans="1:9" x14ac:dyDescent="0.2">
      <c r="A613" s="310" t="s">
        <v>1368</v>
      </c>
      <c r="B613" s="310" t="s">
        <v>1367</v>
      </c>
      <c r="C613" s="309">
        <v>42545</v>
      </c>
      <c r="D613" s="308" t="s">
        <v>2366</v>
      </c>
      <c r="E613" s="307">
        <v>1</v>
      </c>
      <c r="F613" s="311">
        <v>200</v>
      </c>
      <c r="G613" s="306">
        <v>63</v>
      </c>
      <c r="H613" s="305"/>
      <c r="I613" s="305"/>
    </row>
    <row r="614" spans="1:9" x14ac:dyDescent="0.2">
      <c r="A614" s="310" t="s">
        <v>1368</v>
      </c>
      <c r="B614" s="310" t="s">
        <v>1367</v>
      </c>
      <c r="C614" s="309">
        <v>42563</v>
      </c>
      <c r="D614" s="308" t="s">
        <v>2604</v>
      </c>
      <c r="E614" s="307">
        <v>1</v>
      </c>
      <c r="F614" s="311">
        <v>200</v>
      </c>
      <c r="G614" s="306">
        <v>63</v>
      </c>
      <c r="H614" s="305"/>
      <c r="I614" s="305"/>
    </row>
    <row r="615" spans="1:9" x14ac:dyDescent="0.2">
      <c r="A615" s="310" t="s">
        <v>1368</v>
      </c>
      <c r="B615" s="310" t="s">
        <v>1367</v>
      </c>
      <c r="C615" s="309">
        <v>42614</v>
      </c>
      <c r="D615" s="308" t="s">
        <v>2634</v>
      </c>
      <c r="E615" s="307">
        <v>1</v>
      </c>
      <c r="F615" s="311">
        <v>200</v>
      </c>
      <c r="G615" s="306">
        <v>63</v>
      </c>
      <c r="H615" s="305"/>
      <c r="I615" s="305"/>
    </row>
    <row r="616" spans="1:9" x14ac:dyDescent="0.2">
      <c r="A616" s="310" t="s">
        <v>1366</v>
      </c>
      <c r="B616" s="310" t="s">
        <v>1376</v>
      </c>
      <c r="C616" s="309">
        <v>42562</v>
      </c>
      <c r="D616" s="308" t="s">
        <v>2655</v>
      </c>
      <c r="E616" s="307">
        <v>1</v>
      </c>
      <c r="F616" s="311">
        <v>380</v>
      </c>
      <c r="G616" s="306">
        <v>63</v>
      </c>
      <c r="H616" s="305"/>
      <c r="I616" s="305"/>
    </row>
    <row r="617" spans="1:9" x14ac:dyDescent="0.2">
      <c r="A617" s="310" t="s">
        <v>1364</v>
      </c>
      <c r="B617" s="310" t="s">
        <v>1367</v>
      </c>
      <c r="C617" s="309">
        <v>42091</v>
      </c>
      <c r="D617" s="308" t="s">
        <v>1694</v>
      </c>
      <c r="E617" s="307">
        <v>1</v>
      </c>
      <c r="F617" s="311">
        <v>600</v>
      </c>
      <c r="G617" s="306">
        <v>63</v>
      </c>
      <c r="H617" s="305"/>
      <c r="I617" s="305"/>
    </row>
    <row r="618" spans="1:9" x14ac:dyDescent="0.2">
      <c r="A618" s="310" t="s">
        <v>1364</v>
      </c>
      <c r="B618" s="310" t="s">
        <v>1367</v>
      </c>
      <c r="C618" s="309">
        <v>42091</v>
      </c>
      <c r="D618" s="308" t="s">
        <v>1663</v>
      </c>
      <c r="E618" s="307">
        <v>1</v>
      </c>
      <c r="F618" s="311">
        <v>600</v>
      </c>
      <c r="G618" s="306">
        <v>63</v>
      </c>
      <c r="H618" s="305"/>
      <c r="I618" s="305"/>
    </row>
    <row r="619" spans="1:9" x14ac:dyDescent="0.2">
      <c r="A619" s="310" t="s">
        <v>1364</v>
      </c>
      <c r="B619" s="310" t="s">
        <v>1371</v>
      </c>
      <c r="C619" s="309">
        <v>42265</v>
      </c>
      <c r="D619" s="308" t="s">
        <v>1707</v>
      </c>
      <c r="E619" s="307">
        <v>1</v>
      </c>
      <c r="F619" s="311">
        <v>600</v>
      </c>
      <c r="G619" s="306">
        <f>59+(4)</f>
        <v>63</v>
      </c>
      <c r="H619" s="305"/>
      <c r="I619" s="305"/>
    </row>
    <row r="620" spans="1:9" x14ac:dyDescent="0.2">
      <c r="A620" s="310" t="s">
        <v>1364</v>
      </c>
      <c r="B620" s="310" t="s">
        <v>1371</v>
      </c>
      <c r="C620" s="309">
        <v>42265</v>
      </c>
      <c r="D620" s="308" t="s">
        <v>1700</v>
      </c>
      <c r="E620" s="307">
        <v>1</v>
      </c>
      <c r="F620" s="311">
        <v>600</v>
      </c>
      <c r="G620" s="306">
        <f>59+(4)</f>
        <v>63</v>
      </c>
      <c r="H620" s="305"/>
      <c r="I620" s="305"/>
    </row>
    <row r="621" spans="1:9" x14ac:dyDescent="0.2">
      <c r="A621" s="310" t="s">
        <v>1364</v>
      </c>
      <c r="B621" s="310" t="s">
        <v>1367</v>
      </c>
      <c r="C621" s="309">
        <v>42638</v>
      </c>
      <c r="D621" s="308" t="s">
        <v>2544</v>
      </c>
      <c r="E621" s="307">
        <v>1</v>
      </c>
      <c r="F621" s="311">
        <v>650</v>
      </c>
      <c r="G621" s="306">
        <v>63</v>
      </c>
      <c r="H621" s="305"/>
      <c r="I621" s="305"/>
    </row>
    <row r="622" spans="1:9" x14ac:dyDescent="0.2">
      <c r="A622" s="310" t="s">
        <v>1362</v>
      </c>
      <c r="B622" s="310" t="s">
        <v>1365</v>
      </c>
      <c r="C622" s="309">
        <v>42058</v>
      </c>
      <c r="D622" s="308" t="s">
        <v>1568</v>
      </c>
      <c r="E622" s="307">
        <v>1</v>
      </c>
      <c r="F622" s="311">
        <v>400</v>
      </c>
      <c r="G622" s="303">
        <f>75-(12)</f>
        <v>63</v>
      </c>
      <c r="H622" s="305"/>
      <c r="I622" s="305"/>
    </row>
    <row r="623" spans="1:9" x14ac:dyDescent="0.2">
      <c r="A623" s="310" t="s">
        <v>1362</v>
      </c>
      <c r="B623" s="310" t="s">
        <v>1365</v>
      </c>
      <c r="C623" s="309">
        <v>42058</v>
      </c>
      <c r="D623" s="308" t="s">
        <v>1615</v>
      </c>
      <c r="E623" s="307">
        <v>1</v>
      </c>
      <c r="F623" s="311">
        <v>400</v>
      </c>
      <c r="G623" s="303">
        <f>75-(12)</f>
        <v>63</v>
      </c>
      <c r="H623" s="305"/>
      <c r="I623" s="305"/>
    </row>
    <row r="624" spans="1:9" x14ac:dyDescent="0.2">
      <c r="A624" s="310" t="s">
        <v>1362</v>
      </c>
      <c r="B624" s="310" t="s">
        <v>1365</v>
      </c>
      <c r="C624" s="309">
        <v>42268</v>
      </c>
      <c r="D624" s="308" t="s">
        <v>1537</v>
      </c>
      <c r="E624" s="307">
        <v>1</v>
      </c>
      <c r="F624" s="311">
        <v>400</v>
      </c>
      <c r="G624" s="303">
        <f>75-(12)</f>
        <v>63</v>
      </c>
      <c r="H624" s="305"/>
      <c r="I624" s="305"/>
    </row>
    <row r="625" spans="1:9" x14ac:dyDescent="0.2">
      <c r="A625" s="310" t="s">
        <v>1362</v>
      </c>
      <c r="B625" s="310" t="s">
        <v>1365</v>
      </c>
      <c r="C625" s="309">
        <v>42592</v>
      </c>
      <c r="D625" s="308" t="s">
        <v>2820</v>
      </c>
      <c r="E625" s="307">
        <v>1</v>
      </c>
      <c r="F625" s="311">
        <v>400</v>
      </c>
      <c r="G625" s="303">
        <f>75-(12)</f>
        <v>63</v>
      </c>
      <c r="H625" s="305"/>
      <c r="I625" s="305"/>
    </row>
    <row r="626" spans="1:9" x14ac:dyDescent="0.2">
      <c r="A626" s="310" t="s">
        <v>1360</v>
      </c>
      <c r="B626" s="310" t="s">
        <v>1371</v>
      </c>
      <c r="C626" s="309">
        <v>42022</v>
      </c>
      <c r="D626" s="308" t="s">
        <v>1568</v>
      </c>
      <c r="E626" s="307">
        <v>1</v>
      </c>
      <c r="F626" s="311">
        <v>250</v>
      </c>
      <c r="G626" s="306">
        <f>59+(4)</f>
        <v>63</v>
      </c>
      <c r="H626" s="305"/>
      <c r="I626" s="305"/>
    </row>
    <row r="627" spans="1:9" x14ac:dyDescent="0.2">
      <c r="A627" s="310" t="s">
        <v>1360</v>
      </c>
      <c r="B627" s="310" t="s">
        <v>1371</v>
      </c>
      <c r="C627" s="309">
        <v>42504</v>
      </c>
      <c r="D627" s="308" t="s">
        <v>2913</v>
      </c>
      <c r="E627" s="307">
        <v>1</v>
      </c>
      <c r="F627" s="311">
        <v>275</v>
      </c>
      <c r="G627" s="306">
        <f>59+(4)</f>
        <v>63</v>
      </c>
      <c r="H627" s="305"/>
      <c r="I627" s="305"/>
    </row>
    <row r="628" spans="1:9" x14ac:dyDescent="0.2">
      <c r="A628" s="310" t="s">
        <v>1359</v>
      </c>
      <c r="B628" s="310" t="s">
        <v>1363</v>
      </c>
      <c r="C628" s="309">
        <v>42064</v>
      </c>
      <c r="D628" s="308" t="s">
        <v>1449</v>
      </c>
      <c r="E628" s="307">
        <v>1</v>
      </c>
      <c r="F628" s="311">
        <v>400</v>
      </c>
      <c r="G628" s="307">
        <v>63</v>
      </c>
      <c r="H628" s="305"/>
      <c r="I628" s="305"/>
    </row>
    <row r="629" spans="1:9" x14ac:dyDescent="0.2">
      <c r="A629" s="310" t="s">
        <v>1359</v>
      </c>
      <c r="B629" s="310" t="s">
        <v>1363</v>
      </c>
      <c r="C629" s="309">
        <v>42125</v>
      </c>
      <c r="D629" s="308" t="s">
        <v>1490</v>
      </c>
      <c r="E629" s="307">
        <v>1</v>
      </c>
      <c r="F629" s="311">
        <v>400</v>
      </c>
      <c r="G629" s="307">
        <v>63</v>
      </c>
      <c r="H629" s="305"/>
      <c r="I629" s="305"/>
    </row>
    <row r="630" spans="1:9" x14ac:dyDescent="0.2">
      <c r="A630" s="310" t="s">
        <v>1359</v>
      </c>
      <c r="B630" s="310" t="s">
        <v>1363</v>
      </c>
      <c r="C630" s="309">
        <v>42424</v>
      </c>
      <c r="D630" s="308" t="s">
        <v>2952</v>
      </c>
      <c r="E630" s="307">
        <v>1</v>
      </c>
      <c r="F630" s="311">
        <v>400</v>
      </c>
      <c r="G630" s="307">
        <v>63</v>
      </c>
      <c r="H630" s="305"/>
      <c r="I630" s="305"/>
    </row>
    <row r="631" spans="1:9" x14ac:dyDescent="0.2">
      <c r="A631" s="310" t="s">
        <v>1319</v>
      </c>
      <c r="B631" s="310" t="s">
        <v>1373</v>
      </c>
      <c r="C631" s="309">
        <v>42415</v>
      </c>
      <c r="D631" s="308" t="s">
        <v>2077</v>
      </c>
      <c r="E631" s="307">
        <v>1</v>
      </c>
      <c r="F631" s="311">
        <v>120</v>
      </c>
      <c r="G631" s="306">
        <f>71-(7)</f>
        <v>64</v>
      </c>
      <c r="H631" s="305"/>
      <c r="I631" s="305"/>
    </row>
    <row r="632" spans="1:9" x14ac:dyDescent="0.2">
      <c r="A632" s="310" t="s">
        <v>1319</v>
      </c>
      <c r="B632" s="310" t="s">
        <v>1371</v>
      </c>
      <c r="C632" s="309">
        <v>42476</v>
      </c>
      <c r="D632" s="308" t="s">
        <v>2128</v>
      </c>
      <c r="E632" s="307">
        <v>1</v>
      </c>
      <c r="F632" s="311">
        <v>120</v>
      </c>
      <c r="G632" s="306">
        <f>60+(4)</f>
        <v>64</v>
      </c>
      <c r="H632" s="305"/>
      <c r="I632" s="305"/>
    </row>
    <row r="633" spans="1:9" x14ac:dyDescent="0.2">
      <c r="A633" s="310" t="s">
        <v>1319</v>
      </c>
      <c r="B633" s="310" t="s">
        <v>1367</v>
      </c>
      <c r="C633" s="309">
        <v>42666</v>
      </c>
      <c r="D633" s="308" t="s">
        <v>2148</v>
      </c>
      <c r="E633" s="307">
        <v>1</v>
      </c>
      <c r="F633" s="311">
        <v>120</v>
      </c>
      <c r="G633" s="306">
        <v>64</v>
      </c>
      <c r="H633" s="305"/>
      <c r="I633" s="305"/>
    </row>
    <row r="634" spans="1:9" x14ac:dyDescent="0.2">
      <c r="A634" s="310" t="s">
        <v>1319</v>
      </c>
      <c r="B634" s="310" t="s">
        <v>1367</v>
      </c>
      <c r="C634" s="309">
        <v>42666</v>
      </c>
      <c r="D634" s="308" t="s">
        <v>2158</v>
      </c>
      <c r="E634" s="307">
        <v>1</v>
      </c>
      <c r="F634" s="311">
        <v>120</v>
      </c>
      <c r="G634" s="306">
        <v>64</v>
      </c>
      <c r="H634" s="305"/>
      <c r="I634" s="305"/>
    </row>
    <row r="635" spans="1:9" x14ac:dyDescent="0.2">
      <c r="A635" s="310" t="s">
        <v>1313</v>
      </c>
      <c r="B635" s="310" t="s">
        <v>1373</v>
      </c>
      <c r="C635" s="309">
        <v>42105</v>
      </c>
      <c r="D635" s="308" t="s">
        <v>1875</v>
      </c>
      <c r="E635" s="307">
        <v>1</v>
      </c>
      <c r="F635" s="311">
        <v>200</v>
      </c>
      <c r="G635" s="306">
        <f>71-(7)</f>
        <v>64</v>
      </c>
      <c r="H635" s="305"/>
      <c r="I635" s="305"/>
    </row>
    <row r="636" spans="1:9" x14ac:dyDescent="0.2">
      <c r="A636" s="310" t="s">
        <v>1313</v>
      </c>
      <c r="B636" s="310" t="s">
        <v>1361</v>
      </c>
      <c r="C636" s="309">
        <v>42636</v>
      </c>
      <c r="D636" s="308" t="s">
        <v>2210</v>
      </c>
      <c r="E636" s="307">
        <v>1</v>
      </c>
      <c r="F636" s="311">
        <v>210</v>
      </c>
      <c r="G636" s="303">
        <f>69-(5)</f>
        <v>64</v>
      </c>
      <c r="H636" s="305"/>
      <c r="I636" s="305"/>
    </row>
    <row r="637" spans="1:9" x14ac:dyDescent="0.2">
      <c r="A637" s="310" t="s">
        <v>1313</v>
      </c>
      <c r="B637" s="310" t="s">
        <v>1361</v>
      </c>
      <c r="C637" s="309">
        <v>42636</v>
      </c>
      <c r="D637" s="308" t="s">
        <v>2211</v>
      </c>
      <c r="E637" s="307">
        <v>1</v>
      </c>
      <c r="F637" s="311">
        <v>210</v>
      </c>
      <c r="G637" s="303">
        <f>69-(5)</f>
        <v>64</v>
      </c>
      <c r="H637" s="305"/>
      <c r="I637" s="305"/>
    </row>
    <row r="638" spans="1:9" x14ac:dyDescent="0.2">
      <c r="A638" s="310" t="s">
        <v>1374</v>
      </c>
      <c r="B638" s="310" t="s">
        <v>1369</v>
      </c>
      <c r="C638" s="309">
        <v>42227</v>
      </c>
      <c r="D638" s="308" t="s">
        <v>1967</v>
      </c>
      <c r="E638" s="307">
        <v>1</v>
      </c>
      <c r="F638" s="311">
        <v>300</v>
      </c>
      <c r="G638" s="307">
        <v>64</v>
      </c>
      <c r="H638" s="305"/>
      <c r="I638" s="305"/>
    </row>
    <row r="639" spans="1:9" x14ac:dyDescent="0.2">
      <c r="A639" s="310" t="s">
        <v>1374</v>
      </c>
      <c r="B639" s="310" t="s">
        <v>1369</v>
      </c>
      <c r="C639" s="309">
        <v>42227</v>
      </c>
      <c r="D639" s="308" t="s">
        <v>1902</v>
      </c>
      <c r="E639" s="307">
        <v>1</v>
      </c>
      <c r="F639" s="311">
        <v>300</v>
      </c>
      <c r="G639" s="307">
        <v>64</v>
      </c>
      <c r="H639" s="305"/>
      <c r="I639" s="305"/>
    </row>
    <row r="640" spans="1:9" x14ac:dyDescent="0.2">
      <c r="A640" s="310" t="s">
        <v>1374</v>
      </c>
      <c r="B640" s="310" t="s">
        <v>1369</v>
      </c>
      <c r="C640" s="309">
        <v>42227</v>
      </c>
      <c r="D640" s="308" t="s">
        <v>1499</v>
      </c>
      <c r="E640" s="307">
        <v>1</v>
      </c>
      <c r="F640" s="311">
        <v>300</v>
      </c>
      <c r="G640" s="307">
        <v>64</v>
      </c>
      <c r="H640" s="305"/>
      <c r="I640" s="305"/>
    </row>
    <row r="641" spans="1:9" x14ac:dyDescent="0.2">
      <c r="A641" s="310" t="s">
        <v>1374</v>
      </c>
      <c r="B641" s="310" t="s">
        <v>1369</v>
      </c>
      <c r="C641" s="309">
        <v>42531</v>
      </c>
      <c r="D641" s="308" t="s">
        <v>2242</v>
      </c>
      <c r="E641" s="307">
        <v>1</v>
      </c>
      <c r="F641" s="311">
        <v>320</v>
      </c>
      <c r="G641" s="307">
        <v>64</v>
      </c>
      <c r="H641" s="305"/>
      <c r="I641" s="305"/>
    </row>
    <row r="642" spans="1:9" x14ac:dyDescent="0.2">
      <c r="A642" s="310" t="s">
        <v>1372</v>
      </c>
      <c r="B642" s="310" t="s">
        <v>1365</v>
      </c>
      <c r="C642" s="309">
        <v>42056</v>
      </c>
      <c r="D642" s="308" t="s">
        <v>1416</v>
      </c>
      <c r="E642" s="307">
        <v>1</v>
      </c>
      <c r="F642" s="311">
        <v>300</v>
      </c>
      <c r="G642" s="303">
        <f>76-(12)</f>
        <v>64</v>
      </c>
      <c r="H642" s="305"/>
      <c r="I642" s="305"/>
    </row>
    <row r="643" spans="1:9" x14ac:dyDescent="0.2">
      <c r="A643" s="310" t="s">
        <v>1372</v>
      </c>
      <c r="B643" s="310" t="s">
        <v>1363</v>
      </c>
      <c r="C643" s="309">
        <v>42271</v>
      </c>
      <c r="D643" s="308" t="s">
        <v>1887</v>
      </c>
      <c r="E643" s="307">
        <v>1</v>
      </c>
      <c r="F643" s="311">
        <v>300</v>
      </c>
      <c r="G643" s="307">
        <v>64</v>
      </c>
      <c r="H643" s="305"/>
      <c r="I643" s="305"/>
    </row>
    <row r="644" spans="1:9" x14ac:dyDescent="0.2">
      <c r="A644" s="310" t="s">
        <v>1372</v>
      </c>
      <c r="B644" s="310" t="s">
        <v>1363</v>
      </c>
      <c r="C644" s="309">
        <v>42271</v>
      </c>
      <c r="D644" s="308" t="s">
        <v>1945</v>
      </c>
      <c r="E644" s="307">
        <v>1</v>
      </c>
      <c r="F644" s="311">
        <v>300</v>
      </c>
      <c r="G644" s="307">
        <v>64</v>
      </c>
      <c r="H644" s="305"/>
      <c r="I644" s="305"/>
    </row>
    <row r="645" spans="1:9" x14ac:dyDescent="0.2">
      <c r="A645" s="310" t="s">
        <v>1372</v>
      </c>
      <c r="B645" s="310" t="s">
        <v>1363</v>
      </c>
      <c r="C645" s="309">
        <v>42685</v>
      </c>
      <c r="D645" s="308" t="s">
        <v>2321</v>
      </c>
      <c r="E645" s="307">
        <v>1</v>
      </c>
      <c r="F645" s="311">
        <v>310</v>
      </c>
      <c r="G645" s="307">
        <v>64</v>
      </c>
      <c r="H645" s="305"/>
      <c r="I645" s="305"/>
    </row>
    <row r="646" spans="1:9" x14ac:dyDescent="0.2">
      <c r="A646" s="310" t="s">
        <v>1372</v>
      </c>
      <c r="B646" s="310" t="s">
        <v>1363</v>
      </c>
      <c r="C646" s="309">
        <v>42685</v>
      </c>
      <c r="D646" s="308" t="s">
        <v>2311</v>
      </c>
      <c r="E646" s="307">
        <v>1</v>
      </c>
      <c r="F646" s="311">
        <v>310</v>
      </c>
      <c r="G646" s="307">
        <v>64</v>
      </c>
      <c r="H646" s="305"/>
      <c r="I646" s="305"/>
    </row>
    <row r="647" spans="1:9" x14ac:dyDescent="0.2">
      <c r="A647" s="310" t="s">
        <v>1372</v>
      </c>
      <c r="B647" s="310" t="s">
        <v>1363</v>
      </c>
      <c r="C647" s="309">
        <v>42685</v>
      </c>
      <c r="D647" s="308" t="s">
        <v>2285</v>
      </c>
      <c r="E647" s="307">
        <v>1</v>
      </c>
      <c r="F647" s="311">
        <v>310</v>
      </c>
      <c r="G647" s="307">
        <v>64</v>
      </c>
      <c r="H647" s="305"/>
      <c r="I647" s="305"/>
    </row>
    <row r="648" spans="1:9" x14ac:dyDescent="0.2">
      <c r="A648" s="310" t="s">
        <v>1370</v>
      </c>
      <c r="B648" s="310" t="s">
        <v>1361</v>
      </c>
      <c r="C648" s="309">
        <v>42139</v>
      </c>
      <c r="D648" s="308" t="s">
        <v>1902</v>
      </c>
      <c r="E648" s="307">
        <v>1</v>
      </c>
      <c r="F648" s="311">
        <v>500</v>
      </c>
      <c r="G648" s="303">
        <f>69-(5)</f>
        <v>64</v>
      </c>
      <c r="H648" s="305"/>
      <c r="I648" s="305"/>
    </row>
    <row r="649" spans="1:9" x14ac:dyDescent="0.2">
      <c r="A649" s="310" t="s">
        <v>1370</v>
      </c>
      <c r="B649" s="310" t="s">
        <v>1361</v>
      </c>
      <c r="C649" s="309">
        <v>42447</v>
      </c>
      <c r="D649" s="308" t="s">
        <v>2295</v>
      </c>
      <c r="E649" s="307">
        <v>1</v>
      </c>
      <c r="F649" s="311">
        <v>500</v>
      </c>
      <c r="G649" s="303">
        <f>69-(5)</f>
        <v>64</v>
      </c>
      <c r="H649" s="305"/>
      <c r="I649" s="305"/>
    </row>
    <row r="650" spans="1:9" x14ac:dyDescent="0.2">
      <c r="A650" s="310" t="s">
        <v>1368</v>
      </c>
      <c r="B650" s="310" t="s">
        <v>1367</v>
      </c>
      <c r="C650" s="309">
        <v>42068</v>
      </c>
      <c r="D650" s="308" t="s">
        <v>1836</v>
      </c>
      <c r="E650" s="307">
        <v>1</v>
      </c>
      <c r="F650" s="311">
        <v>200</v>
      </c>
      <c r="G650" s="306">
        <v>64</v>
      </c>
      <c r="H650" s="305"/>
      <c r="I650" s="305"/>
    </row>
    <row r="651" spans="1:9" x14ac:dyDescent="0.2">
      <c r="A651" s="310" t="s">
        <v>1368</v>
      </c>
      <c r="B651" s="310" t="s">
        <v>1371</v>
      </c>
      <c r="C651" s="309">
        <v>42340</v>
      </c>
      <c r="D651" s="308" t="s">
        <v>1851</v>
      </c>
      <c r="E651" s="307">
        <v>1</v>
      </c>
      <c r="F651" s="311">
        <v>200</v>
      </c>
      <c r="G651" s="306">
        <f>60+(4)</f>
        <v>64</v>
      </c>
      <c r="H651" s="305"/>
      <c r="I651" s="305"/>
    </row>
    <row r="652" spans="1:9" x14ac:dyDescent="0.2">
      <c r="A652" s="310" t="s">
        <v>1368</v>
      </c>
      <c r="B652" s="310" t="s">
        <v>1367</v>
      </c>
      <c r="C652" s="309">
        <v>42505</v>
      </c>
      <c r="D652" s="308" t="s">
        <v>2549</v>
      </c>
      <c r="E652" s="307">
        <v>1</v>
      </c>
      <c r="F652" s="311">
        <v>200</v>
      </c>
      <c r="G652" s="306">
        <v>64</v>
      </c>
      <c r="H652" s="305"/>
      <c r="I652" s="305"/>
    </row>
    <row r="653" spans="1:9" x14ac:dyDescent="0.2">
      <c r="A653" s="310" t="s">
        <v>1368</v>
      </c>
      <c r="B653" s="310" t="s">
        <v>1367</v>
      </c>
      <c r="C653" s="309">
        <v>42505</v>
      </c>
      <c r="D653" s="308" t="s">
        <v>2543</v>
      </c>
      <c r="E653" s="307">
        <v>1</v>
      </c>
      <c r="F653" s="311">
        <v>200</v>
      </c>
      <c r="G653" s="306">
        <v>64</v>
      </c>
      <c r="H653" s="305"/>
      <c r="I653" s="305"/>
    </row>
    <row r="654" spans="1:9" x14ac:dyDescent="0.2">
      <c r="A654" s="310" t="s">
        <v>1368</v>
      </c>
      <c r="B654" s="310" t="s">
        <v>1367</v>
      </c>
      <c r="C654" s="309">
        <v>42563</v>
      </c>
      <c r="D654" s="308" t="s">
        <v>2602</v>
      </c>
      <c r="E654" s="307">
        <v>1</v>
      </c>
      <c r="F654" s="311">
        <v>200</v>
      </c>
      <c r="G654" s="306">
        <v>64</v>
      </c>
      <c r="H654" s="305"/>
      <c r="I654" s="305"/>
    </row>
    <row r="655" spans="1:9" x14ac:dyDescent="0.2">
      <c r="A655" s="310" t="s">
        <v>1368</v>
      </c>
      <c r="B655" s="310" t="s">
        <v>1367</v>
      </c>
      <c r="C655" s="309">
        <v>42627</v>
      </c>
      <c r="D655" s="308" t="s">
        <v>2649</v>
      </c>
      <c r="E655" s="307">
        <v>1</v>
      </c>
      <c r="F655" s="311">
        <v>200</v>
      </c>
      <c r="G655" s="306">
        <v>64</v>
      </c>
      <c r="H655" s="305"/>
      <c r="I655" s="305"/>
    </row>
    <row r="656" spans="1:9" x14ac:dyDescent="0.2">
      <c r="A656" s="310" t="s">
        <v>1366</v>
      </c>
      <c r="B656" s="310" t="s">
        <v>1376</v>
      </c>
      <c r="C656" s="309">
        <v>42053</v>
      </c>
      <c r="D656" s="308" t="s">
        <v>1640</v>
      </c>
      <c r="E656" s="307">
        <v>1</v>
      </c>
      <c r="F656" s="311">
        <v>350</v>
      </c>
      <c r="G656" s="306">
        <v>64</v>
      </c>
      <c r="H656" s="305"/>
      <c r="I656" s="305"/>
    </row>
    <row r="657" spans="1:9" x14ac:dyDescent="0.2">
      <c r="A657" s="310" t="s">
        <v>1366</v>
      </c>
      <c r="B657" s="310" t="s">
        <v>1376</v>
      </c>
      <c r="C657" s="309">
        <v>42562</v>
      </c>
      <c r="D657" s="308" t="s">
        <v>2684</v>
      </c>
      <c r="E657" s="307">
        <v>1</v>
      </c>
      <c r="F657" s="311">
        <v>380</v>
      </c>
      <c r="G657" s="306">
        <v>64</v>
      </c>
      <c r="H657" s="305"/>
      <c r="I657" s="305"/>
    </row>
    <row r="658" spans="1:9" x14ac:dyDescent="0.2">
      <c r="A658" s="310" t="s">
        <v>1366</v>
      </c>
      <c r="B658" s="310" t="s">
        <v>1376</v>
      </c>
      <c r="C658" s="309">
        <v>42562</v>
      </c>
      <c r="D658" s="308" t="s">
        <v>2673</v>
      </c>
      <c r="E658" s="307">
        <v>1</v>
      </c>
      <c r="F658" s="311">
        <v>380</v>
      </c>
      <c r="G658" s="306">
        <v>64</v>
      </c>
      <c r="H658" s="305"/>
      <c r="I658" s="305"/>
    </row>
    <row r="659" spans="1:9" x14ac:dyDescent="0.2">
      <c r="A659" s="310" t="s">
        <v>1366</v>
      </c>
      <c r="B659" s="310" t="s">
        <v>1376</v>
      </c>
      <c r="C659" s="309">
        <v>42562</v>
      </c>
      <c r="D659" s="308" t="s">
        <v>2691</v>
      </c>
      <c r="E659" s="307">
        <v>1</v>
      </c>
      <c r="F659" s="311">
        <v>380</v>
      </c>
      <c r="G659" s="306">
        <v>64</v>
      </c>
      <c r="H659" s="305"/>
      <c r="I659" s="305"/>
    </row>
    <row r="660" spans="1:9" x14ac:dyDescent="0.2">
      <c r="A660" s="310" t="s">
        <v>1364</v>
      </c>
      <c r="B660" s="310" t="s">
        <v>1367</v>
      </c>
      <c r="C660" s="309">
        <v>42091</v>
      </c>
      <c r="D660" s="308" t="s">
        <v>1545</v>
      </c>
      <c r="E660" s="307">
        <v>1</v>
      </c>
      <c r="F660" s="311">
        <v>600</v>
      </c>
      <c r="G660" s="306">
        <v>64</v>
      </c>
      <c r="H660" s="305"/>
      <c r="I660" s="305"/>
    </row>
    <row r="661" spans="1:9" x14ac:dyDescent="0.2">
      <c r="A661" s="310" t="s">
        <v>1364</v>
      </c>
      <c r="B661" s="310" t="s">
        <v>1367</v>
      </c>
      <c r="C661" s="309">
        <v>42091</v>
      </c>
      <c r="D661" s="308" t="s">
        <v>1561</v>
      </c>
      <c r="E661" s="307">
        <v>1</v>
      </c>
      <c r="F661" s="311">
        <v>600</v>
      </c>
      <c r="G661" s="306">
        <v>64</v>
      </c>
      <c r="H661" s="305"/>
      <c r="I661" s="305"/>
    </row>
    <row r="662" spans="1:9" x14ac:dyDescent="0.2">
      <c r="A662" s="310" t="s">
        <v>1364</v>
      </c>
      <c r="B662" s="310" t="s">
        <v>1367</v>
      </c>
      <c r="C662" s="309">
        <v>42091</v>
      </c>
      <c r="D662" s="308" t="s">
        <v>1687</v>
      </c>
      <c r="E662" s="307">
        <v>1</v>
      </c>
      <c r="F662" s="311">
        <v>600</v>
      </c>
      <c r="G662" s="306">
        <v>64</v>
      </c>
      <c r="H662" s="305"/>
      <c r="I662" s="305"/>
    </row>
    <row r="663" spans="1:9" x14ac:dyDescent="0.2">
      <c r="A663" s="310" t="s">
        <v>1364</v>
      </c>
      <c r="B663" s="310" t="s">
        <v>1367</v>
      </c>
      <c r="C663" s="309">
        <v>42091</v>
      </c>
      <c r="D663" s="308" t="s">
        <v>1601</v>
      </c>
      <c r="E663" s="307">
        <v>1</v>
      </c>
      <c r="F663" s="311">
        <v>600</v>
      </c>
      <c r="G663" s="306">
        <v>64</v>
      </c>
      <c r="H663" s="305"/>
      <c r="I663" s="305"/>
    </row>
    <row r="664" spans="1:9" x14ac:dyDescent="0.2">
      <c r="A664" s="310" t="s">
        <v>1364</v>
      </c>
      <c r="B664" s="310" t="s">
        <v>1367</v>
      </c>
      <c r="C664" s="309">
        <v>42091</v>
      </c>
      <c r="D664" s="308" t="s">
        <v>1675</v>
      </c>
      <c r="E664" s="307">
        <v>1</v>
      </c>
      <c r="F664" s="311">
        <v>600</v>
      </c>
      <c r="G664" s="306">
        <v>64</v>
      </c>
      <c r="H664" s="305"/>
      <c r="I664" s="305"/>
    </row>
    <row r="665" spans="1:9" x14ac:dyDescent="0.2">
      <c r="A665" s="310" t="s">
        <v>1364</v>
      </c>
      <c r="B665" s="310" t="s">
        <v>1367</v>
      </c>
      <c r="C665" s="309">
        <v>42091</v>
      </c>
      <c r="D665" s="308" t="s">
        <v>1670</v>
      </c>
      <c r="E665" s="307">
        <v>1</v>
      </c>
      <c r="F665" s="311">
        <v>600</v>
      </c>
      <c r="G665" s="306">
        <v>64</v>
      </c>
      <c r="H665" s="305"/>
      <c r="I665" s="305"/>
    </row>
    <row r="666" spans="1:9" x14ac:dyDescent="0.2">
      <c r="A666" s="310" t="s">
        <v>1364</v>
      </c>
      <c r="B666" s="310" t="s">
        <v>1367</v>
      </c>
      <c r="C666" s="309">
        <v>42091</v>
      </c>
      <c r="D666" s="308" t="s">
        <v>1588</v>
      </c>
      <c r="E666" s="307">
        <v>1</v>
      </c>
      <c r="F666" s="311">
        <v>600</v>
      </c>
      <c r="G666" s="306">
        <v>64</v>
      </c>
      <c r="H666" s="305"/>
      <c r="I666" s="305"/>
    </row>
    <row r="667" spans="1:9" x14ac:dyDescent="0.2">
      <c r="A667" s="310" t="s">
        <v>1364</v>
      </c>
      <c r="B667" s="310" t="s">
        <v>1371</v>
      </c>
      <c r="C667" s="309">
        <v>42265</v>
      </c>
      <c r="D667" s="308" t="s">
        <v>1703</v>
      </c>
      <c r="E667" s="307">
        <v>1</v>
      </c>
      <c r="F667" s="311">
        <v>600</v>
      </c>
      <c r="G667" s="306">
        <f>60+(4)</f>
        <v>64</v>
      </c>
      <c r="H667" s="305"/>
      <c r="I667" s="305"/>
    </row>
    <row r="668" spans="1:9" x14ac:dyDescent="0.2">
      <c r="A668" s="310" t="s">
        <v>1364</v>
      </c>
      <c r="B668" s="310" t="s">
        <v>1367</v>
      </c>
      <c r="C668" s="309">
        <v>42638</v>
      </c>
      <c r="D668" s="308" t="s">
        <v>2752</v>
      </c>
      <c r="E668" s="307">
        <v>1</v>
      </c>
      <c r="F668" s="311">
        <v>650</v>
      </c>
      <c r="G668" s="306">
        <v>64</v>
      </c>
      <c r="H668" s="305"/>
      <c r="I668" s="305"/>
    </row>
    <row r="669" spans="1:9" x14ac:dyDescent="0.2">
      <c r="A669" s="310" t="s">
        <v>1362</v>
      </c>
      <c r="B669" s="310" t="s">
        <v>1365</v>
      </c>
      <c r="C669" s="309">
        <v>42058</v>
      </c>
      <c r="D669" s="308" t="s">
        <v>1637</v>
      </c>
      <c r="E669" s="307">
        <v>1</v>
      </c>
      <c r="F669" s="311">
        <v>400</v>
      </c>
      <c r="G669" s="303">
        <f>76-(12)</f>
        <v>64</v>
      </c>
      <c r="H669" s="305"/>
      <c r="I669" s="305"/>
    </row>
    <row r="670" spans="1:9" x14ac:dyDescent="0.2">
      <c r="A670" s="310" t="s">
        <v>1362</v>
      </c>
      <c r="B670" s="310" t="s">
        <v>1365</v>
      </c>
      <c r="C670" s="309">
        <v>42127</v>
      </c>
      <c r="D670" s="308" t="s">
        <v>1606</v>
      </c>
      <c r="E670" s="307">
        <v>1</v>
      </c>
      <c r="F670" s="311">
        <v>400</v>
      </c>
      <c r="G670" s="303">
        <f>76-(12)</f>
        <v>64</v>
      </c>
      <c r="H670" s="305"/>
      <c r="I670" s="305"/>
    </row>
    <row r="671" spans="1:9" x14ac:dyDescent="0.2">
      <c r="A671" s="310" t="s">
        <v>1360</v>
      </c>
      <c r="B671" s="310" t="s">
        <v>1371</v>
      </c>
      <c r="C671" s="309">
        <v>42504</v>
      </c>
      <c r="D671" s="308" t="s">
        <v>2927</v>
      </c>
      <c r="E671" s="307">
        <v>1</v>
      </c>
      <c r="F671" s="311">
        <v>275</v>
      </c>
      <c r="G671" s="306">
        <f>60+(4)</f>
        <v>64</v>
      </c>
      <c r="H671" s="305"/>
      <c r="I671" s="305"/>
    </row>
    <row r="672" spans="1:9" x14ac:dyDescent="0.2">
      <c r="A672" s="310" t="s">
        <v>1360</v>
      </c>
      <c r="B672" s="310" t="s">
        <v>1371</v>
      </c>
      <c r="C672" s="309">
        <v>42504</v>
      </c>
      <c r="D672" s="308" t="s">
        <v>2929</v>
      </c>
      <c r="E672" s="307">
        <v>1</v>
      </c>
      <c r="F672" s="311">
        <v>275</v>
      </c>
      <c r="G672" s="306">
        <f>60+(4)</f>
        <v>64</v>
      </c>
      <c r="H672" s="305"/>
      <c r="I672" s="305"/>
    </row>
    <row r="673" spans="1:9" x14ac:dyDescent="0.2">
      <c r="A673" s="310" t="s">
        <v>1360</v>
      </c>
      <c r="B673" s="310" t="s">
        <v>1371</v>
      </c>
      <c r="C673" s="309">
        <v>42504</v>
      </c>
      <c r="D673" s="308" t="s">
        <v>2919</v>
      </c>
      <c r="E673" s="307">
        <v>1</v>
      </c>
      <c r="F673" s="311">
        <v>275</v>
      </c>
      <c r="G673" s="306">
        <f>60+(4)</f>
        <v>64</v>
      </c>
      <c r="H673" s="305"/>
      <c r="I673" s="305"/>
    </row>
    <row r="674" spans="1:9" x14ac:dyDescent="0.2">
      <c r="A674" s="310" t="s">
        <v>1359</v>
      </c>
      <c r="B674" s="310" t="s">
        <v>1363</v>
      </c>
      <c r="C674" s="309">
        <v>42064</v>
      </c>
      <c r="D674" s="308" t="s">
        <v>1512</v>
      </c>
      <c r="E674" s="307">
        <v>1</v>
      </c>
      <c r="F674" s="311">
        <v>400</v>
      </c>
      <c r="G674" s="307">
        <v>64</v>
      </c>
      <c r="H674" s="305"/>
      <c r="I674" s="305"/>
    </row>
    <row r="675" spans="1:9" x14ac:dyDescent="0.2">
      <c r="A675" s="310" t="s">
        <v>1359</v>
      </c>
      <c r="B675" s="310" t="s">
        <v>1363</v>
      </c>
      <c r="C675" s="309">
        <v>42064</v>
      </c>
      <c r="D675" s="308" t="s">
        <v>1496</v>
      </c>
      <c r="E675" s="307">
        <v>1</v>
      </c>
      <c r="F675" s="311">
        <v>400</v>
      </c>
      <c r="G675" s="307">
        <v>64</v>
      </c>
      <c r="H675" s="305"/>
      <c r="I675" s="305"/>
    </row>
    <row r="676" spans="1:9" x14ac:dyDescent="0.2">
      <c r="A676" s="310" t="s">
        <v>1359</v>
      </c>
      <c r="B676" s="310" t="s">
        <v>1363</v>
      </c>
      <c r="C676" s="309">
        <v>42125</v>
      </c>
      <c r="D676" s="308" t="s">
        <v>1421</v>
      </c>
      <c r="E676" s="307">
        <v>1</v>
      </c>
      <c r="F676" s="311">
        <v>400</v>
      </c>
      <c r="G676" s="307">
        <v>64</v>
      </c>
      <c r="H676" s="305"/>
      <c r="I676" s="305"/>
    </row>
    <row r="677" spans="1:9" x14ac:dyDescent="0.2">
      <c r="A677" s="310" t="s">
        <v>1359</v>
      </c>
      <c r="B677" s="310" t="s">
        <v>1363</v>
      </c>
      <c r="C677" s="309">
        <v>42424</v>
      </c>
      <c r="D677" s="308" t="s">
        <v>2953</v>
      </c>
      <c r="E677" s="307">
        <v>1</v>
      </c>
      <c r="F677" s="311">
        <v>400</v>
      </c>
      <c r="G677" s="307">
        <v>64</v>
      </c>
      <c r="H677" s="305"/>
      <c r="I677" s="305"/>
    </row>
    <row r="678" spans="1:9" x14ac:dyDescent="0.2">
      <c r="A678" s="310" t="s">
        <v>1358</v>
      </c>
      <c r="B678" s="310" t="s">
        <v>1375</v>
      </c>
      <c r="C678" s="309">
        <v>42037</v>
      </c>
      <c r="D678" s="308" t="s">
        <v>1470</v>
      </c>
      <c r="E678" s="307">
        <v>1</v>
      </c>
      <c r="F678" s="311">
        <v>300</v>
      </c>
      <c r="G678" s="307">
        <v>64</v>
      </c>
      <c r="H678" s="305"/>
      <c r="I678" s="305"/>
    </row>
    <row r="679" spans="1:9" x14ac:dyDescent="0.2">
      <c r="A679" s="310" t="s">
        <v>1358</v>
      </c>
      <c r="B679" s="310" t="s">
        <v>1375</v>
      </c>
      <c r="C679" s="309">
        <v>42037</v>
      </c>
      <c r="D679" s="308" t="s">
        <v>1449</v>
      </c>
      <c r="E679" s="307">
        <v>1</v>
      </c>
      <c r="F679" s="311">
        <v>300</v>
      </c>
      <c r="G679" s="307">
        <v>64</v>
      </c>
      <c r="H679" s="305"/>
      <c r="I679" s="305"/>
    </row>
    <row r="680" spans="1:9" x14ac:dyDescent="0.2">
      <c r="A680" s="310" t="s">
        <v>1358</v>
      </c>
      <c r="B680" s="310" t="s">
        <v>1375</v>
      </c>
      <c r="C680" s="309">
        <v>42289</v>
      </c>
      <c r="D680" s="308" t="s">
        <v>1427</v>
      </c>
      <c r="E680" s="307">
        <v>1</v>
      </c>
      <c r="F680" s="311">
        <v>300</v>
      </c>
      <c r="G680" s="307">
        <v>64</v>
      </c>
      <c r="H680" s="305"/>
      <c r="I680" s="305"/>
    </row>
    <row r="681" spans="1:9" x14ac:dyDescent="0.2">
      <c r="A681" s="310" t="s">
        <v>1358</v>
      </c>
      <c r="B681" s="310" t="s">
        <v>1375</v>
      </c>
      <c r="C681" s="309">
        <v>42544</v>
      </c>
      <c r="D681" s="308" t="s">
        <v>3035</v>
      </c>
      <c r="E681" s="307">
        <v>1</v>
      </c>
      <c r="F681" s="311">
        <v>320</v>
      </c>
      <c r="G681" s="307">
        <v>64</v>
      </c>
      <c r="H681" s="305"/>
      <c r="I681" s="305"/>
    </row>
    <row r="682" spans="1:9" x14ac:dyDescent="0.2">
      <c r="A682" s="310" t="s">
        <v>1319</v>
      </c>
      <c r="B682" s="310" t="s">
        <v>1373</v>
      </c>
      <c r="C682" s="309">
        <v>42084</v>
      </c>
      <c r="D682" s="308" t="s">
        <v>1678</v>
      </c>
      <c r="E682" s="307">
        <v>1</v>
      </c>
      <c r="F682" s="311">
        <v>100</v>
      </c>
      <c r="G682" s="306">
        <f>72-(7)</f>
        <v>65</v>
      </c>
      <c r="H682" s="305"/>
      <c r="I682" s="305"/>
    </row>
    <row r="683" spans="1:9" x14ac:dyDescent="0.2">
      <c r="A683" s="310" t="s">
        <v>1319</v>
      </c>
      <c r="B683" s="310" t="s">
        <v>1373</v>
      </c>
      <c r="C683" s="309">
        <v>42415</v>
      </c>
      <c r="D683" s="308" t="s">
        <v>2060</v>
      </c>
      <c r="E683" s="307">
        <v>1</v>
      </c>
      <c r="F683" s="311">
        <v>120</v>
      </c>
      <c r="G683" s="306">
        <f>72-(7)</f>
        <v>65</v>
      </c>
      <c r="H683" s="305"/>
      <c r="I683" s="305"/>
    </row>
    <row r="684" spans="1:9" x14ac:dyDescent="0.2">
      <c r="A684" s="310" t="s">
        <v>1319</v>
      </c>
      <c r="B684" s="310" t="s">
        <v>1371</v>
      </c>
      <c r="C684" s="309">
        <v>42476</v>
      </c>
      <c r="D684" s="308" t="s">
        <v>2136</v>
      </c>
      <c r="E684" s="307">
        <v>1</v>
      </c>
      <c r="F684" s="311">
        <v>120</v>
      </c>
      <c r="G684" s="306">
        <f>61+(4)</f>
        <v>65</v>
      </c>
      <c r="H684" s="305"/>
      <c r="I684" s="305"/>
    </row>
    <row r="685" spans="1:9" x14ac:dyDescent="0.2">
      <c r="A685" s="310" t="s">
        <v>1319</v>
      </c>
      <c r="B685" s="310" t="s">
        <v>1371</v>
      </c>
      <c r="C685" s="309">
        <v>42476</v>
      </c>
      <c r="D685" s="308" t="s">
        <v>2133</v>
      </c>
      <c r="E685" s="307">
        <v>1</v>
      </c>
      <c r="F685" s="311">
        <v>120</v>
      </c>
      <c r="G685" s="306">
        <f>61+(4)</f>
        <v>65</v>
      </c>
      <c r="H685" s="305"/>
      <c r="I685" s="305"/>
    </row>
    <row r="686" spans="1:9" x14ac:dyDescent="0.2">
      <c r="A686" s="310" t="s">
        <v>1319</v>
      </c>
      <c r="B686" s="310" t="s">
        <v>1371</v>
      </c>
      <c r="C686" s="309">
        <v>42476</v>
      </c>
      <c r="D686" s="308" t="s">
        <v>2112</v>
      </c>
      <c r="E686" s="307">
        <v>1</v>
      </c>
      <c r="F686" s="311">
        <v>120</v>
      </c>
      <c r="G686" s="306">
        <f>61+(4)</f>
        <v>65</v>
      </c>
      <c r="H686" s="305"/>
      <c r="I686" s="305"/>
    </row>
    <row r="687" spans="1:9" x14ac:dyDescent="0.2">
      <c r="A687" s="310" t="s">
        <v>1313</v>
      </c>
      <c r="B687" s="310" t="s">
        <v>1373</v>
      </c>
      <c r="C687" s="309">
        <v>42384</v>
      </c>
      <c r="D687" s="308" t="s">
        <v>2181</v>
      </c>
      <c r="E687" s="307">
        <v>1</v>
      </c>
      <c r="F687" s="311">
        <v>210</v>
      </c>
      <c r="G687" s="306">
        <f>72-(7)</f>
        <v>65</v>
      </c>
      <c r="H687" s="305"/>
      <c r="I687" s="305"/>
    </row>
    <row r="688" spans="1:9" x14ac:dyDescent="0.2">
      <c r="A688" s="310" t="s">
        <v>1313</v>
      </c>
      <c r="B688" s="310" t="s">
        <v>1373</v>
      </c>
      <c r="C688" s="309">
        <v>42384</v>
      </c>
      <c r="D688" s="308" t="s">
        <v>2186</v>
      </c>
      <c r="E688" s="307">
        <v>1</v>
      </c>
      <c r="F688" s="311">
        <v>210</v>
      </c>
      <c r="G688" s="306">
        <f>72-(7)</f>
        <v>65</v>
      </c>
      <c r="H688" s="305"/>
      <c r="I688" s="305"/>
    </row>
    <row r="689" spans="1:9" x14ac:dyDescent="0.2">
      <c r="A689" s="310" t="s">
        <v>1313</v>
      </c>
      <c r="B689" s="310" t="s">
        <v>1373</v>
      </c>
      <c r="C689" s="309">
        <v>42384</v>
      </c>
      <c r="D689" s="308" t="s">
        <v>2179</v>
      </c>
      <c r="E689" s="307">
        <v>1</v>
      </c>
      <c r="F689" s="311">
        <v>210</v>
      </c>
      <c r="G689" s="306">
        <f>72-(7)</f>
        <v>65</v>
      </c>
      <c r="H689" s="305"/>
      <c r="I689" s="305"/>
    </row>
    <row r="690" spans="1:9" x14ac:dyDescent="0.2">
      <c r="A690" s="310" t="s">
        <v>1313</v>
      </c>
      <c r="B690" s="310" t="s">
        <v>1361</v>
      </c>
      <c r="C690" s="309">
        <v>42636</v>
      </c>
      <c r="D690" s="308" t="s">
        <v>2191</v>
      </c>
      <c r="E690" s="307">
        <v>1</v>
      </c>
      <c r="F690" s="311">
        <v>210</v>
      </c>
      <c r="G690" s="303">
        <f>70-(5)</f>
        <v>65</v>
      </c>
      <c r="H690" s="305"/>
      <c r="I690" s="305"/>
    </row>
    <row r="691" spans="1:9" x14ac:dyDescent="0.2">
      <c r="A691" s="310" t="s">
        <v>1313</v>
      </c>
      <c r="B691" s="310" t="s">
        <v>1361</v>
      </c>
      <c r="C691" s="309">
        <v>42636</v>
      </c>
      <c r="D691" s="308" t="s">
        <v>2198</v>
      </c>
      <c r="E691" s="307">
        <v>1</v>
      </c>
      <c r="F691" s="311">
        <v>210</v>
      </c>
      <c r="G691" s="303">
        <f>70-(5)</f>
        <v>65</v>
      </c>
      <c r="H691" s="305"/>
      <c r="I691" s="305"/>
    </row>
    <row r="692" spans="1:9" x14ac:dyDescent="0.2">
      <c r="A692" s="310" t="s">
        <v>1313</v>
      </c>
      <c r="B692" s="310" t="s">
        <v>1361</v>
      </c>
      <c r="C692" s="309">
        <v>42636</v>
      </c>
      <c r="D692" s="308" t="s">
        <v>2218</v>
      </c>
      <c r="E692" s="307">
        <v>1</v>
      </c>
      <c r="F692" s="311">
        <v>210</v>
      </c>
      <c r="G692" s="303">
        <f>70-(5)</f>
        <v>65</v>
      </c>
      <c r="H692" s="305"/>
      <c r="I692" s="305"/>
    </row>
    <row r="693" spans="1:9" x14ac:dyDescent="0.2">
      <c r="A693" s="310" t="s">
        <v>1374</v>
      </c>
      <c r="B693" s="310" t="s">
        <v>1369</v>
      </c>
      <c r="C693" s="309">
        <v>42531</v>
      </c>
      <c r="D693" s="308" t="s">
        <v>2255</v>
      </c>
      <c r="E693" s="307">
        <v>1</v>
      </c>
      <c r="F693" s="311">
        <v>320</v>
      </c>
      <c r="G693" s="307">
        <v>65</v>
      </c>
      <c r="H693" s="305"/>
      <c r="I693" s="305"/>
    </row>
    <row r="694" spans="1:9" x14ac:dyDescent="0.2">
      <c r="A694" s="310" t="s">
        <v>1372</v>
      </c>
      <c r="B694" s="310" t="s">
        <v>1365</v>
      </c>
      <c r="C694" s="309">
        <v>42056</v>
      </c>
      <c r="D694" s="308" t="s">
        <v>1957</v>
      </c>
      <c r="E694" s="307">
        <v>1</v>
      </c>
      <c r="F694" s="311">
        <v>300</v>
      </c>
      <c r="G694" s="303">
        <f>77-(12)</f>
        <v>65</v>
      </c>
      <c r="H694" s="305"/>
      <c r="I694" s="305"/>
    </row>
    <row r="695" spans="1:9" x14ac:dyDescent="0.2">
      <c r="A695" s="310" t="s">
        <v>1372</v>
      </c>
      <c r="B695" s="310" t="s">
        <v>1365</v>
      </c>
      <c r="C695" s="309">
        <v>42056</v>
      </c>
      <c r="D695" s="308" t="s">
        <v>1531</v>
      </c>
      <c r="E695" s="307">
        <v>1</v>
      </c>
      <c r="F695" s="311">
        <v>300</v>
      </c>
      <c r="G695" s="303">
        <f>77-(12)</f>
        <v>65</v>
      </c>
      <c r="H695" s="305"/>
      <c r="I695" s="305"/>
    </row>
    <row r="696" spans="1:9" x14ac:dyDescent="0.2">
      <c r="A696" s="310" t="s">
        <v>1372</v>
      </c>
      <c r="B696" s="310" t="s">
        <v>1365</v>
      </c>
      <c r="C696" s="309">
        <v>42056</v>
      </c>
      <c r="D696" s="308" t="s">
        <v>1552</v>
      </c>
      <c r="E696" s="307">
        <v>1</v>
      </c>
      <c r="F696" s="311">
        <v>300</v>
      </c>
      <c r="G696" s="303">
        <f>77-(12)</f>
        <v>65</v>
      </c>
      <c r="H696" s="305"/>
      <c r="I696" s="305"/>
    </row>
    <row r="697" spans="1:9" x14ac:dyDescent="0.2">
      <c r="A697" s="310" t="s">
        <v>1370</v>
      </c>
      <c r="B697" s="310" t="s">
        <v>1361</v>
      </c>
      <c r="C697" s="309">
        <v>42036</v>
      </c>
      <c r="D697" s="308" t="s">
        <v>1924</v>
      </c>
      <c r="E697" s="307">
        <v>1</v>
      </c>
      <c r="F697" s="311">
        <v>500</v>
      </c>
      <c r="G697" s="303">
        <f>70-(5)</f>
        <v>65</v>
      </c>
      <c r="H697" s="305"/>
      <c r="I697" s="305"/>
    </row>
    <row r="698" spans="1:9" x14ac:dyDescent="0.2">
      <c r="A698" s="310" t="s">
        <v>1370</v>
      </c>
      <c r="B698" s="310" t="s">
        <v>1361</v>
      </c>
      <c r="C698" s="309">
        <v>42139</v>
      </c>
      <c r="D698" s="308" t="s">
        <v>1836</v>
      </c>
      <c r="E698" s="307">
        <v>1</v>
      </c>
      <c r="F698" s="311">
        <v>500</v>
      </c>
      <c r="G698" s="303">
        <f>70-(5)</f>
        <v>65</v>
      </c>
      <c r="H698" s="305"/>
      <c r="I698" s="305"/>
    </row>
    <row r="699" spans="1:9" x14ac:dyDescent="0.2">
      <c r="A699" s="310" t="s">
        <v>1370</v>
      </c>
      <c r="B699" s="310" t="s">
        <v>1361</v>
      </c>
      <c r="C699" s="309">
        <v>42139</v>
      </c>
      <c r="D699" s="308" t="s">
        <v>1801</v>
      </c>
      <c r="E699" s="307">
        <v>1</v>
      </c>
      <c r="F699" s="311">
        <v>500</v>
      </c>
      <c r="G699" s="303">
        <f>70-(5)</f>
        <v>65</v>
      </c>
      <c r="H699" s="305"/>
      <c r="I699" s="305"/>
    </row>
    <row r="700" spans="1:9" x14ac:dyDescent="0.2">
      <c r="A700" s="310" t="s">
        <v>1370</v>
      </c>
      <c r="B700" s="310" t="s">
        <v>1361</v>
      </c>
      <c r="C700" s="309">
        <v>42447</v>
      </c>
      <c r="D700" s="308" t="s">
        <v>2386</v>
      </c>
      <c r="E700" s="307">
        <v>1</v>
      </c>
      <c r="F700" s="311">
        <v>500</v>
      </c>
      <c r="G700" s="303">
        <f>70-(5)</f>
        <v>65</v>
      </c>
      <c r="H700" s="305"/>
      <c r="I700" s="305"/>
    </row>
    <row r="701" spans="1:9" x14ac:dyDescent="0.2">
      <c r="A701" s="310" t="s">
        <v>1368</v>
      </c>
      <c r="B701" s="310" t="s">
        <v>1367</v>
      </c>
      <c r="C701" s="309">
        <v>42170</v>
      </c>
      <c r="D701" s="308" t="s">
        <v>1594</v>
      </c>
      <c r="E701" s="307">
        <v>1</v>
      </c>
      <c r="F701" s="311">
        <v>200</v>
      </c>
      <c r="G701" s="306">
        <v>65</v>
      </c>
      <c r="H701" s="305"/>
      <c r="I701" s="305"/>
    </row>
    <row r="702" spans="1:9" x14ac:dyDescent="0.2">
      <c r="A702" s="310" t="s">
        <v>1368</v>
      </c>
      <c r="B702" s="310" t="s">
        <v>1371</v>
      </c>
      <c r="C702" s="309">
        <v>42323</v>
      </c>
      <c r="D702" s="308" t="s">
        <v>1887</v>
      </c>
      <c r="E702" s="307">
        <v>1</v>
      </c>
      <c r="F702" s="311">
        <v>200</v>
      </c>
      <c r="G702" s="306">
        <f>61+(4)</f>
        <v>65</v>
      </c>
      <c r="H702" s="305"/>
      <c r="I702" s="305"/>
    </row>
    <row r="703" spans="1:9" x14ac:dyDescent="0.2">
      <c r="A703" s="310" t="s">
        <v>1368</v>
      </c>
      <c r="B703" s="310" t="s">
        <v>1371</v>
      </c>
      <c r="C703" s="309">
        <v>42323</v>
      </c>
      <c r="D703" s="308" t="s">
        <v>1638</v>
      </c>
      <c r="E703" s="307">
        <v>1</v>
      </c>
      <c r="F703" s="311">
        <v>200</v>
      </c>
      <c r="G703" s="306">
        <f>61+(4)</f>
        <v>65</v>
      </c>
      <c r="H703" s="305"/>
      <c r="I703" s="305"/>
    </row>
    <row r="704" spans="1:9" x14ac:dyDescent="0.2">
      <c r="A704" s="310" t="s">
        <v>1368</v>
      </c>
      <c r="B704" s="310" t="s">
        <v>1371</v>
      </c>
      <c r="C704" s="309">
        <v>42323</v>
      </c>
      <c r="D704" s="308" t="s">
        <v>1878</v>
      </c>
      <c r="E704" s="307">
        <v>1</v>
      </c>
      <c r="F704" s="311">
        <v>200</v>
      </c>
      <c r="G704" s="306">
        <f>61+(4)</f>
        <v>65</v>
      </c>
      <c r="H704" s="305"/>
      <c r="I704" s="305"/>
    </row>
    <row r="705" spans="1:9" x14ac:dyDescent="0.2">
      <c r="A705" s="310" t="s">
        <v>1368</v>
      </c>
      <c r="B705" s="310" t="s">
        <v>1371</v>
      </c>
      <c r="C705" s="309">
        <v>42412</v>
      </c>
      <c r="D705" s="308" t="s">
        <v>2424</v>
      </c>
      <c r="E705" s="307">
        <v>1</v>
      </c>
      <c r="F705" s="311">
        <v>200</v>
      </c>
      <c r="G705" s="306">
        <f>61+(4)</f>
        <v>65</v>
      </c>
      <c r="H705" s="305"/>
      <c r="I705" s="305"/>
    </row>
    <row r="706" spans="1:9" x14ac:dyDescent="0.2">
      <c r="A706" s="310" t="s">
        <v>1368</v>
      </c>
      <c r="B706" s="310" t="s">
        <v>1371</v>
      </c>
      <c r="C706" s="309">
        <v>42412</v>
      </c>
      <c r="D706" s="308" t="s">
        <v>2444</v>
      </c>
      <c r="E706" s="307">
        <v>1</v>
      </c>
      <c r="F706" s="311">
        <v>200</v>
      </c>
      <c r="G706" s="306">
        <f>61+(4)</f>
        <v>65</v>
      </c>
      <c r="H706" s="305"/>
      <c r="I706" s="305"/>
    </row>
    <row r="707" spans="1:9" x14ac:dyDescent="0.2">
      <c r="A707" s="310" t="s">
        <v>1366</v>
      </c>
      <c r="B707" s="310" t="s">
        <v>1376</v>
      </c>
      <c r="C707" s="309">
        <v>42053</v>
      </c>
      <c r="D707" s="308" t="s">
        <v>1469</v>
      </c>
      <c r="E707" s="307">
        <v>1</v>
      </c>
      <c r="F707" s="311">
        <v>350</v>
      </c>
      <c r="G707" s="306">
        <v>65</v>
      </c>
      <c r="H707" s="305"/>
      <c r="I707" s="305"/>
    </row>
    <row r="708" spans="1:9" x14ac:dyDescent="0.2">
      <c r="A708" s="310" t="s">
        <v>1366</v>
      </c>
      <c r="B708" s="310" t="s">
        <v>1376</v>
      </c>
      <c r="C708" s="309">
        <v>42562</v>
      </c>
      <c r="D708" s="308" t="s">
        <v>2695</v>
      </c>
      <c r="E708" s="307">
        <v>1</v>
      </c>
      <c r="F708" s="311">
        <v>380</v>
      </c>
      <c r="G708" s="306">
        <v>65</v>
      </c>
      <c r="H708" s="305"/>
      <c r="I708" s="305"/>
    </row>
    <row r="709" spans="1:9" x14ac:dyDescent="0.2">
      <c r="A709" s="310" t="s">
        <v>1362</v>
      </c>
      <c r="B709" s="310" t="s">
        <v>1365</v>
      </c>
      <c r="C709" s="309">
        <v>42058</v>
      </c>
      <c r="D709" s="308" t="s">
        <v>1655</v>
      </c>
      <c r="E709" s="307">
        <v>1</v>
      </c>
      <c r="F709" s="311">
        <v>400</v>
      </c>
      <c r="G709" s="303">
        <f>77-(12)</f>
        <v>65</v>
      </c>
      <c r="H709" s="305"/>
      <c r="I709" s="305"/>
    </row>
    <row r="710" spans="1:9" x14ac:dyDescent="0.2">
      <c r="A710" s="310" t="s">
        <v>1362</v>
      </c>
      <c r="B710" s="310" t="s">
        <v>1365</v>
      </c>
      <c r="C710" s="309">
        <v>42058</v>
      </c>
      <c r="D710" s="308" t="s">
        <v>1650</v>
      </c>
      <c r="E710" s="307">
        <v>1</v>
      </c>
      <c r="F710" s="311">
        <v>400</v>
      </c>
      <c r="G710" s="303">
        <f>77-(12)</f>
        <v>65</v>
      </c>
      <c r="H710" s="305"/>
      <c r="I710" s="305"/>
    </row>
    <row r="711" spans="1:9" x14ac:dyDescent="0.2">
      <c r="A711" s="310" t="s">
        <v>1362</v>
      </c>
      <c r="B711" s="310" t="s">
        <v>1365</v>
      </c>
      <c r="C711" s="309">
        <v>42058</v>
      </c>
      <c r="D711" s="308" t="s">
        <v>1506</v>
      </c>
      <c r="E711" s="307">
        <v>1</v>
      </c>
      <c r="F711" s="311">
        <v>400</v>
      </c>
      <c r="G711" s="303">
        <f>77-(12)</f>
        <v>65</v>
      </c>
      <c r="H711" s="305"/>
      <c r="I711" s="305"/>
    </row>
    <row r="712" spans="1:9" x14ac:dyDescent="0.2">
      <c r="A712" s="310" t="s">
        <v>1362</v>
      </c>
      <c r="B712" s="310" t="s">
        <v>1365</v>
      </c>
      <c r="C712" s="309">
        <v>42058</v>
      </c>
      <c r="D712" s="308" t="s">
        <v>1612</v>
      </c>
      <c r="E712" s="307">
        <v>1</v>
      </c>
      <c r="F712" s="311">
        <v>400</v>
      </c>
      <c r="G712" s="303">
        <f>77-(12)</f>
        <v>65</v>
      </c>
      <c r="H712" s="305"/>
      <c r="I712" s="305"/>
    </row>
    <row r="713" spans="1:9" x14ac:dyDescent="0.2">
      <c r="A713" s="310" t="s">
        <v>1359</v>
      </c>
      <c r="B713" s="310" t="s">
        <v>1363</v>
      </c>
      <c r="C713" s="309">
        <v>42064</v>
      </c>
      <c r="D713" s="308" t="s">
        <v>1534</v>
      </c>
      <c r="E713" s="307">
        <v>1</v>
      </c>
      <c r="F713" s="311">
        <v>400</v>
      </c>
      <c r="G713" s="307">
        <v>65</v>
      </c>
      <c r="H713" s="305"/>
      <c r="I713" s="305"/>
    </row>
    <row r="714" spans="1:9" x14ac:dyDescent="0.2">
      <c r="A714" s="310" t="s">
        <v>1359</v>
      </c>
      <c r="B714" s="310" t="s">
        <v>1363</v>
      </c>
      <c r="C714" s="309">
        <v>42125</v>
      </c>
      <c r="D714" s="308" t="s">
        <v>1475</v>
      </c>
      <c r="E714" s="307">
        <v>1</v>
      </c>
      <c r="F714" s="311">
        <v>400</v>
      </c>
      <c r="G714" s="307">
        <v>65</v>
      </c>
      <c r="H714" s="305"/>
      <c r="I714" s="305"/>
    </row>
    <row r="715" spans="1:9" x14ac:dyDescent="0.2">
      <c r="A715" s="310" t="s">
        <v>1359</v>
      </c>
      <c r="B715" s="310" t="s">
        <v>1363</v>
      </c>
      <c r="C715" s="309">
        <v>42424</v>
      </c>
      <c r="D715" s="308" t="s">
        <v>2989</v>
      </c>
      <c r="E715" s="307">
        <v>1</v>
      </c>
      <c r="F715" s="311">
        <v>400</v>
      </c>
      <c r="G715" s="307">
        <v>65</v>
      </c>
      <c r="H715" s="305"/>
      <c r="I715" s="305"/>
    </row>
    <row r="716" spans="1:9" x14ac:dyDescent="0.2">
      <c r="A716" s="310" t="s">
        <v>1359</v>
      </c>
      <c r="B716" s="310" t="s">
        <v>1363</v>
      </c>
      <c r="C716" s="309">
        <v>42424</v>
      </c>
      <c r="D716" s="308" t="s">
        <v>2879</v>
      </c>
      <c r="E716" s="307">
        <v>1</v>
      </c>
      <c r="F716" s="311">
        <v>400</v>
      </c>
      <c r="G716" s="307">
        <v>65</v>
      </c>
      <c r="H716" s="305"/>
      <c r="I716" s="305"/>
    </row>
    <row r="717" spans="1:9" x14ac:dyDescent="0.2">
      <c r="A717" s="310" t="s">
        <v>1359</v>
      </c>
      <c r="B717" s="310" t="s">
        <v>1363</v>
      </c>
      <c r="C717" s="309">
        <v>42424</v>
      </c>
      <c r="D717" s="308" t="s">
        <v>2945</v>
      </c>
      <c r="E717" s="307">
        <v>1</v>
      </c>
      <c r="F717" s="311">
        <v>400</v>
      </c>
      <c r="G717" s="307">
        <v>65</v>
      </c>
      <c r="H717" s="305"/>
      <c r="I717" s="305"/>
    </row>
    <row r="718" spans="1:9" x14ac:dyDescent="0.2">
      <c r="A718" s="310" t="s">
        <v>1358</v>
      </c>
      <c r="B718" s="310" t="s">
        <v>1375</v>
      </c>
      <c r="C718" s="309">
        <v>42289</v>
      </c>
      <c r="D718" s="308" t="s">
        <v>1410</v>
      </c>
      <c r="E718" s="307">
        <v>1</v>
      </c>
      <c r="F718" s="311">
        <v>300</v>
      </c>
      <c r="G718" s="307">
        <v>65</v>
      </c>
      <c r="H718" s="305"/>
      <c r="I718" s="305"/>
    </row>
    <row r="719" spans="1:9" x14ac:dyDescent="0.2">
      <c r="A719" s="310" t="s">
        <v>1358</v>
      </c>
      <c r="B719" s="310" t="s">
        <v>1375</v>
      </c>
      <c r="C719" s="309">
        <v>42289</v>
      </c>
      <c r="D719" s="308" t="s">
        <v>1397</v>
      </c>
      <c r="E719" s="307">
        <v>1</v>
      </c>
      <c r="F719" s="311">
        <v>300</v>
      </c>
      <c r="G719" s="307">
        <v>65</v>
      </c>
      <c r="H719" s="305"/>
      <c r="I719" s="305"/>
    </row>
    <row r="720" spans="1:9" x14ac:dyDescent="0.2">
      <c r="A720" s="310" t="s">
        <v>1358</v>
      </c>
      <c r="B720" s="310" t="s">
        <v>1375</v>
      </c>
      <c r="C720" s="309">
        <v>42544</v>
      </c>
      <c r="D720" s="308" t="s">
        <v>3057</v>
      </c>
      <c r="E720" s="307">
        <v>1</v>
      </c>
      <c r="F720" s="311">
        <v>320</v>
      </c>
      <c r="G720" s="307">
        <v>65</v>
      </c>
      <c r="H720" s="305"/>
      <c r="I720" s="305"/>
    </row>
    <row r="721" spans="1:9" x14ac:dyDescent="0.2">
      <c r="A721" s="310" t="s">
        <v>1319</v>
      </c>
      <c r="B721" s="310" t="s">
        <v>1371</v>
      </c>
      <c r="C721" s="309">
        <v>42258</v>
      </c>
      <c r="D721" s="308" t="s">
        <v>2009</v>
      </c>
      <c r="E721" s="307">
        <v>1</v>
      </c>
      <c r="F721" s="311">
        <v>100</v>
      </c>
      <c r="G721" s="306">
        <f>62+(4)</f>
        <v>66</v>
      </c>
      <c r="H721" s="305"/>
      <c r="I721" s="305"/>
    </row>
    <row r="722" spans="1:9" x14ac:dyDescent="0.2">
      <c r="A722" s="310" t="s">
        <v>1319</v>
      </c>
      <c r="B722" s="310" t="s">
        <v>1371</v>
      </c>
      <c r="C722" s="309">
        <v>42258</v>
      </c>
      <c r="D722" s="308" t="s">
        <v>1960</v>
      </c>
      <c r="E722" s="307">
        <v>1</v>
      </c>
      <c r="F722" s="311">
        <v>100</v>
      </c>
      <c r="G722" s="306">
        <f>62+(4)</f>
        <v>66</v>
      </c>
      <c r="H722" s="305"/>
      <c r="I722" s="305"/>
    </row>
    <row r="723" spans="1:9" x14ac:dyDescent="0.2">
      <c r="A723" s="310" t="s">
        <v>1319</v>
      </c>
      <c r="B723" s="310" t="s">
        <v>1367</v>
      </c>
      <c r="C723" s="309">
        <v>42332</v>
      </c>
      <c r="D723" s="308" t="s">
        <v>1563</v>
      </c>
      <c r="E723" s="307">
        <v>1</v>
      </c>
      <c r="F723" s="311">
        <v>100</v>
      </c>
      <c r="G723" s="306">
        <v>66</v>
      </c>
      <c r="H723" s="305"/>
      <c r="I723" s="305"/>
    </row>
    <row r="724" spans="1:9" x14ac:dyDescent="0.2">
      <c r="A724" s="310" t="s">
        <v>1319</v>
      </c>
      <c r="B724" s="310" t="s">
        <v>1367</v>
      </c>
      <c r="C724" s="309">
        <v>42332</v>
      </c>
      <c r="D724" s="308" t="s">
        <v>1999</v>
      </c>
      <c r="E724" s="307">
        <v>1</v>
      </c>
      <c r="F724" s="311">
        <v>100</v>
      </c>
      <c r="G724" s="306">
        <v>66</v>
      </c>
      <c r="H724" s="305"/>
      <c r="I724" s="305"/>
    </row>
    <row r="725" spans="1:9" x14ac:dyDescent="0.2">
      <c r="A725" s="310" t="s">
        <v>1313</v>
      </c>
      <c r="B725" s="310" t="s">
        <v>1373</v>
      </c>
      <c r="C725" s="309">
        <v>42105</v>
      </c>
      <c r="D725" s="308" t="s">
        <v>1985</v>
      </c>
      <c r="E725" s="307">
        <v>1</v>
      </c>
      <c r="F725" s="311">
        <v>200</v>
      </c>
      <c r="G725" s="306">
        <f>73-(7)</f>
        <v>66</v>
      </c>
      <c r="H725" s="305"/>
      <c r="I725" s="305"/>
    </row>
    <row r="726" spans="1:9" x14ac:dyDescent="0.2">
      <c r="A726" s="310" t="s">
        <v>1313</v>
      </c>
      <c r="B726" s="310" t="s">
        <v>1361</v>
      </c>
      <c r="C726" s="309">
        <v>42177</v>
      </c>
      <c r="D726" s="308" t="s">
        <v>1978</v>
      </c>
      <c r="E726" s="307">
        <v>1</v>
      </c>
      <c r="F726" s="311">
        <v>200</v>
      </c>
      <c r="G726" s="303">
        <f>71-(5)</f>
        <v>66</v>
      </c>
      <c r="H726" s="305"/>
      <c r="I726" s="305"/>
    </row>
    <row r="727" spans="1:9" x14ac:dyDescent="0.2">
      <c r="A727" s="310" t="s">
        <v>1313</v>
      </c>
      <c r="B727" s="310" t="s">
        <v>1373</v>
      </c>
      <c r="C727" s="309">
        <v>42384</v>
      </c>
      <c r="D727" s="308" t="s">
        <v>2180</v>
      </c>
      <c r="E727" s="307">
        <v>1</v>
      </c>
      <c r="F727" s="311">
        <v>210</v>
      </c>
      <c r="G727" s="306">
        <f>73-(7)</f>
        <v>66</v>
      </c>
      <c r="H727" s="305"/>
      <c r="I727" s="305"/>
    </row>
    <row r="728" spans="1:9" x14ac:dyDescent="0.2">
      <c r="A728" s="310" t="s">
        <v>1313</v>
      </c>
      <c r="B728" s="310" t="s">
        <v>1373</v>
      </c>
      <c r="C728" s="309">
        <v>42384</v>
      </c>
      <c r="D728" s="308" t="s">
        <v>2166</v>
      </c>
      <c r="E728" s="307">
        <v>1</v>
      </c>
      <c r="F728" s="311">
        <v>210</v>
      </c>
      <c r="G728" s="306">
        <f>73-(7)</f>
        <v>66</v>
      </c>
      <c r="H728" s="305"/>
      <c r="I728" s="305"/>
    </row>
    <row r="729" spans="1:9" x14ac:dyDescent="0.2">
      <c r="A729" s="310" t="s">
        <v>1313</v>
      </c>
      <c r="B729" s="310" t="s">
        <v>1361</v>
      </c>
      <c r="C729" s="309">
        <v>42636</v>
      </c>
      <c r="D729" s="308" t="s">
        <v>2187</v>
      </c>
      <c r="E729" s="307">
        <v>1</v>
      </c>
      <c r="F729" s="311">
        <v>210</v>
      </c>
      <c r="G729" s="303">
        <f>71-(5)</f>
        <v>66</v>
      </c>
      <c r="H729" s="305"/>
      <c r="I729" s="305"/>
    </row>
    <row r="730" spans="1:9" x14ac:dyDescent="0.2">
      <c r="A730" s="310" t="s">
        <v>1374</v>
      </c>
      <c r="B730" s="310" t="s">
        <v>1369</v>
      </c>
      <c r="C730" s="309">
        <v>42227</v>
      </c>
      <c r="D730" s="308" t="s">
        <v>1698</v>
      </c>
      <c r="E730" s="307">
        <v>1</v>
      </c>
      <c r="F730" s="311">
        <v>300</v>
      </c>
      <c r="G730" s="307">
        <v>66</v>
      </c>
      <c r="H730" s="305"/>
      <c r="I730" s="305"/>
    </row>
    <row r="731" spans="1:9" x14ac:dyDescent="0.2">
      <c r="A731" s="310" t="s">
        <v>1374</v>
      </c>
      <c r="B731" s="310" t="s">
        <v>1369</v>
      </c>
      <c r="C731" s="309">
        <v>42227</v>
      </c>
      <c r="D731" s="308" t="s">
        <v>1629</v>
      </c>
      <c r="E731" s="307">
        <v>1</v>
      </c>
      <c r="F731" s="311">
        <v>300</v>
      </c>
      <c r="G731" s="307">
        <v>66</v>
      </c>
      <c r="H731" s="305"/>
      <c r="I731" s="305"/>
    </row>
    <row r="732" spans="1:9" x14ac:dyDescent="0.2">
      <c r="A732" s="310" t="s">
        <v>1374</v>
      </c>
      <c r="B732" s="310" t="s">
        <v>1369</v>
      </c>
      <c r="C732" s="309">
        <v>42531</v>
      </c>
      <c r="D732" s="308" t="s">
        <v>2256</v>
      </c>
      <c r="E732" s="307">
        <v>1</v>
      </c>
      <c r="F732" s="311">
        <v>320</v>
      </c>
      <c r="G732" s="307">
        <v>66</v>
      </c>
      <c r="H732" s="305"/>
      <c r="I732" s="305"/>
    </row>
    <row r="733" spans="1:9" x14ac:dyDescent="0.2">
      <c r="A733" s="310" t="s">
        <v>1372</v>
      </c>
      <c r="B733" s="310" t="s">
        <v>1363</v>
      </c>
      <c r="C733" s="309">
        <v>42271</v>
      </c>
      <c r="D733" s="308" t="s">
        <v>1941</v>
      </c>
      <c r="E733" s="307">
        <v>1</v>
      </c>
      <c r="F733" s="311">
        <v>300</v>
      </c>
      <c r="G733" s="307">
        <v>66</v>
      </c>
      <c r="H733" s="305"/>
      <c r="I733" s="305"/>
    </row>
    <row r="734" spans="1:9" x14ac:dyDescent="0.2">
      <c r="A734" s="310" t="s">
        <v>1372</v>
      </c>
      <c r="B734" s="310" t="s">
        <v>1363</v>
      </c>
      <c r="C734" s="309">
        <v>42685</v>
      </c>
      <c r="D734" s="308" t="s">
        <v>2313</v>
      </c>
      <c r="E734" s="307">
        <v>1</v>
      </c>
      <c r="F734" s="311">
        <v>310</v>
      </c>
      <c r="G734" s="307">
        <v>66</v>
      </c>
      <c r="H734" s="305"/>
      <c r="I734" s="305"/>
    </row>
    <row r="735" spans="1:9" x14ac:dyDescent="0.2">
      <c r="A735" s="310" t="s">
        <v>1370</v>
      </c>
      <c r="B735" s="310" t="s">
        <v>1361</v>
      </c>
      <c r="C735" s="309">
        <v>42036</v>
      </c>
      <c r="D735" s="308" t="s">
        <v>1506</v>
      </c>
      <c r="E735" s="307">
        <v>1</v>
      </c>
      <c r="F735" s="311">
        <v>500</v>
      </c>
      <c r="G735" s="303">
        <f>71-(5)</f>
        <v>66</v>
      </c>
      <c r="H735" s="305"/>
      <c r="I735" s="305"/>
    </row>
    <row r="736" spans="1:9" x14ac:dyDescent="0.2">
      <c r="A736" s="310" t="s">
        <v>1368</v>
      </c>
      <c r="B736" s="310" t="s">
        <v>1367</v>
      </c>
      <c r="C736" s="309">
        <v>42068</v>
      </c>
      <c r="D736" s="308" t="s">
        <v>1823</v>
      </c>
      <c r="E736" s="307">
        <v>1</v>
      </c>
      <c r="F736" s="311">
        <v>200</v>
      </c>
      <c r="G736" s="306">
        <v>66</v>
      </c>
      <c r="H736" s="305"/>
      <c r="I736" s="305"/>
    </row>
    <row r="737" spans="1:9" x14ac:dyDescent="0.2">
      <c r="A737" s="310" t="s">
        <v>1368</v>
      </c>
      <c r="B737" s="310" t="s">
        <v>1367</v>
      </c>
      <c r="C737" s="309">
        <v>42170</v>
      </c>
      <c r="D737" s="308" t="s">
        <v>1783</v>
      </c>
      <c r="E737" s="307">
        <v>1</v>
      </c>
      <c r="F737" s="311">
        <v>200</v>
      </c>
      <c r="G737" s="306">
        <v>66</v>
      </c>
      <c r="H737" s="305"/>
      <c r="I737" s="305"/>
    </row>
    <row r="738" spans="1:9" x14ac:dyDescent="0.2">
      <c r="A738" s="310" t="s">
        <v>1368</v>
      </c>
      <c r="B738" s="310" t="s">
        <v>1367</v>
      </c>
      <c r="C738" s="309">
        <v>42282</v>
      </c>
      <c r="D738" s="308" t="s">
        <v>1768</v>
      </c>
      <c r="E738" s="307">
        <v>1</v>
      </c>
      <c r="F738" s="311">
        <v>200</v>
      </c>
      <c r="G738" s="306">
        <v>66</v>
      </c>
      <c r="H738" s="305"/>
      <c r="I738" s="305"/>
    </row>
    <row r="739" spans="1:9" x14ac:dyDescent="0.2">
      <c r="A739" s="310" t="s">
        <v>1368</v>
      </c>
      <c r="B739" s="310" t="s">
        <v>1371</v>
      </c>
      <c r="C739" s="309">
        <v>42323</v>
      </c>
      <c r="D739" s="308" t="s">
        <v>1650</v>
      </c>
      <c r="E739" s="307">
        <v>1</v>
      </c>
      <c r="F739" s="311">
        <v>200</v>
      </c>
      <c r="G739" s="306">
        <f>62+(4)</f>
        <v>66</v>
      </c>
      <c r="H739" s="305"/>
      <c r="I739" s="305"/>
    </row>
    <row r="740" spans="1:9" x14ac:dyDescent="0.2">
      <c r="A740" s="310" t="s">
        <v>1368</v>
      </c>
      <c r="B740" s="310" t="s">
        <v>1371</v>
      </c>
      <c r="C740" s="309">
        <v>42323</v>
      </c>
      <c r="D740" s="308" t="s">
        <v>1876</v>
      </c>
      <c r="E740" s="307">
        <v>1</v>
      </c>
      <c r="F740" s="311">
        <v>200</v>
      </c>
      <c r="G740" s="306">
        <f>62+(4)</f>
        <v>66</v>
      </c>
      <c r="H740" s="305"/>
      <c r="I740" s="305"/>
    </row>
    <row r="741" spans="1:9" x14ac:dyDescent="0.2">
      <c r="A741" s="310" t="s">
        <v>1368</v>
      </c>
      <c r="B741" s="310" t="s">
        <v>1371</v>
      </c>
      <c r="C741" s="309">
        <v>42412</v>
      </c>
      <c r="D741" s="308" t="s">
        <v>2446</v>
      </c>
      <c r="E741" s="307">
        <v>1</v>
      </c>
      <c r="F741" s="311">
        <v>200</v>
      </c>
      <c r="G741" s="306">
        <f>62+(4)</f>
        <v>66</v>
      </c>
      <c r="H741" s="305"/>
      <c r="I741" s="305"/>
    </row>
    <row r="742" spans="1:9" x14ac:dyDescent="0.2">
      <c r="A742" s="310" t="s">
        <v>1368</v>
      </c>
      <c r="B742" s="310" t="s">
        <v>1367</v>
      </c>
      <c r="C742" s="309">
        <v>42453</v>
      </c>
      <c r="D742" s="308" t="s">
        <v>2481</v>
      </c>
      <c r="E742" s="307">
        <v>1</v>
      </c>
      <c r="F742" s="311">
        <v>200</v>
      </c>
      <c r="G742" s="306">
        <v>66</v>
      </c>
      <c r="H742" s="305"/>
      <c r="I742" s="305"/>
    </row>
    <row r="743" spans="1:9" x14ac:dyDescent="0.2">
      <c r="A743" s="310" t="s">
        <v>1368</v>
      </c>
      <c r="B743" s="310" t="s">
        <v>1367</v>
      </c>
      <c r="C743" s="309">
        <v>42453</v>
      </c>
      <c r="D743" s="308" t="s">
        <v>2478</v>
      </c>
      <c r="E743" s="307">
        <v>1</v>
      </c>
      <c r="F743" s="311">
        <v>200</v>
      </c>
      <c r="G743" s="306">
        <v>66</v>
      </c>
      <c r="H743" s="305"/>
      <c r="I743" s="305"/>
    </row>
    <row r="744" spans="1:9" x14ac:dyDescent="0.2">
      <c r="A744" s="310" t="s">
        <v>1368</v>
      </c>
      <c r="B744" s="310" t="s">
        <v>1367</v>
      </c>
      <c r="C744" s="309">
        <v>42490</v>
      </c>
      <c r="D744" s="308" t="s">
        <v>2528</v>
      </c>
      <c r="E744" s="307">
        <v>1</v>
      </c>
      <c r="F744" s="311">
        <v>200</v>
      </c>
      <c r="G744" s="306">
        <v>66</v>
      </c>
      <c r="H744" s="305"/>
      <c r="I744" s="305"/>
    </row>
    <row r="745" spans="1:9" x14ac:dyDescent="0.2">
      <c r="A745" s="310" t="s">
        <v>1368</v>
      </c>
      <c r="B745" s="310" t="s">
        <v>1367</v>
      </c>
      <c r="C745" s="309">
        <v>42563</v>
      </c>
      <c r="D745" s="308" t="s">
        <v>2610</v>
      </c>
      <c r="E745" s="307">
        <v>1</v>
      </c>
      <c r="F745" s="311">
        <v>200</v>
      </c>
      <c r="G745" s="306">
        <v>66</v>
      </c>
      <c r="H745" s="305"/>
      <c r="I745" s="305"/>
    </row>
    <row r="746" spans="1:9" x14ac:dyDescent="0.2">
      <c r="A746" s="310" t="s">
        <v>1368</v>
      </c>
      <c r="B746" s="310" t="s">
        <v>1367</v>
      </c>
      <c r="C746" s="309">
        <v>42563</v>
      </c>
      <c r="D746" s="308" t="s">
        <v>2594</v>
      </c>
      <c r="E746" s="307">
        <v>1</v>
      </c>
      <c r="F746" s="311">
        <v>200</v>
      </c>
      <c r="G746" s="306">
        <v>66</v>
      </c>
      <c r="H746" s="305"/>
      <c r="I746" s="305"/>
    </row>
    <row r="747" spans="1:9" x14ac:dyDescent="0.2">
      <c r="A747" s="310" t="s">
        <v>1368</v>
      </c>
      <c r="B747" s="310" t="s">
        <v>1367</v>
      </c>
      <c r="C747" s="309">
        <v>42593</v>
      </c>
      <c r="D747" s="308" t="s">
        <v>2617</v>
      </c>
      <c r="E747" s="307">
        <v>1</v>
      </c>
      <c r="F747" s="311">
        <v>200</v>
      </c>
      <c r="G747" s="306">
        <v>66</v>
      </c>
      <c r="H747" s="305"/>
      <c r="I747" s="305"/>
    </row>
    <row r="748" spans="1:9" x14ac:dyDescent="0.2">
      <c r="A748" s="310" t="s">
        <v>1368</v>
      </c>
      <c r="B748" s="310" t="s">
        <v>1367</v>
      </c>
      <c r="C748" s="309">
        <v>42614</v>
      </c>
      <c r="D748" s="308" t="s">
        <v>2636</v>
      </c>
      <c r="E748" s="307">
        <v>1</v>
      </c>
      <c r="F748" s="311">
        <v>200</v>
      </c>
      <c r="G748" s="306">
        <v>66</v>
      </c>
      <c r="H748" s="305"/>
      <c r="I748" s="305"/>
    </row>
    <row r="749" spans="1:9" x14ac:dyDescent="0.2">
      <c r="A749" s="310" t="s">
        <v>1366</v>
      </c>
      <c r="B749" s="310" t="s">
        <v>1376</v>
      </c>
      <c r="C749" s="309">
        <v>42053</v>
      </c>
      <c r="D749" s="308" t="s">
        <v>1680</v>
      </c>
      <c r="E749" s="307">
        <v>1</v>
      </c>
      <c r="F749" s="311">
        <v>350</v>
      </c>
      <c r="G749" s="306">
        <v>66</v>
      </c>
      <c r="H749" s="305"/>
      <c r="I749" s="305"/>
    </row>
    <row r="750" spans="1:9" x14ac:dyDescent="0.2">
      <c r="A750" s="310" t="s">
        <v>1366</v>
      </c>
      <c r="B750" s="310" t="s">
        <v>1376</v>
      </c>
      <c r="C750" s="309">
        <v>42259</v>
      </c>
      <c r="D750" s="308" t="s">
        <v>1736</v>
      </c>
      <c r="E750" s="307">
        <v>1</v>
      </c>
      <c r="F750" s="311">
        <v>350</v>
      </c>
      <c r="G750" s="306">
        <v>66</v>
      </c>
      <c r="H750" s="305"/>
      <c r="I750" s="305"/>
    </row>
    <row r="751" spans="1:9" x14ac:dyDescent="0.2">
      <c r="A751" s="310" t="s">
        <v>1366</v>
      </c>
      <c r="B751" s="310" t="s">
        <v>1376</v>
      </c>
      <c r="C751" s="309">
        <v>42259</v>
      </c>
      <c r="D751" s="308" t="s">
        <v>1728</v>
      </c>
      <c r="E751" s="307">
        <v>1</v>
      </c>
      <c r="F751" s="311">
        <v>350</v>
      </c>
      <c r="G751" s="306">
        <v>66</v>
      </c>
      <c r="H751" s="305"/>
      <c r="I751" s="305"/>
    </row>
    <row r="752" spans="1:9" x14ac:dyDescent="0.2">
      <c r="A752" s="310" t="s">
        <v>1364</v>
      </c>
      <c r="B752" s="310" t="s">
        <v>1367</v>
      </c>
      <c r="C752" s="309">
        <v>42091</v>
      </c>
      <c r="D752" s="308" t="s">
        <v>1674</v>
      </c>
      <c r="E752" s="307">
        <v>1</v>
      </c>
      <c r="F752" s="311">
        <v>600</v>
      </c>
      <c r="G752" s="306">
        <v>66</v>
      </c>
      <c r="H752" s="305"/>
      <c r="I752" s="305"/>
    </row>
    <row r="753" spans="1:9" x14ac:dyDescent="0.2">
      <c r="A753" s="310" t="s">
        <v>1364</v>
      </c>
      <c r="B753" s="310" t="s">
        <v>1371</v>
      </c>
      <c r="C753" s="309">
        <v>42157</v>
      </c>
      <c r="D753" s="308" t="s">
        <v>1711</v>
      </c>
      <c r="E753" s="307">
        <v>1</v>
      </c>
      <c r="F753" s="311">
        <v>600</v>
      </c>
      <c r="G753" s="306">
        <f>62+(4)</f>
        <v>66</v>
      </c>
      <c r="H753" s="305"/>
      <c r="I753" s="305"/>
    </row>
    <row r="754" spans="1:9" x14ac:dyDescent="0.2">
      <c r="A754" s="310" t="s">
        <v>1364</v>
      </c>
      <c r="B754" s="310" t="s">
        <v>1371</v>
      </c>
      <c r="C754" s="309">
        <v>42430</v>
      </c>
      <c r="D754" s="308" t="s">
        <v>2730</v>
      </c>
      <c r="E754" s="307">
        <v>1</v>
      </c>
      <c r="F754" s="311">
        <v>650</v>
      </c>
      <c r="G754" s="306">
        <f>62+(4)</f>
        <v>66</v>
      </c>
      <c r="H754" s="305"/>
      <c r="I754" s="305"/>
    </row>
    <row r="755" spans="1:9" x14ac:dyDescent="0.2">
      <c r="A755" s="310" t="s">
        <v>1364</v>
      </c>
      <c r="B755" s="310" t="s">
        <v>1367</v>
      </c>
      <c r="C755" s="309">
        <v>42638</v>
      </c>
      <c r="D755" s="308" t="s">
        <v>2745</v>
      </c>
      <c r="E755" s="307">
        <v>1</v>
      </c>
      <c r="F755" s="311">
        <v>650</v>
      </c>
      <c r="G755" s="306">
        <v>66</v>
      </c>
      <c r="H755" s="305"/>
      <c r="I755" s="305"/>
    </row>
    <row r="756" spans="1:9" x14ac:dyDescent="0.2">
      <c r="A756" s="310" t="s">
        <v>1362</v>
      </c>
      <c r="B756" s="310" t="s">
        <v>1365</v>
      </c>
      <c r="C756" s="309">
        <v>42058</v>
      </c>
      <c r="D756" s="308" t="s">
        <v>1505</v>
      </c>
      <c r="E756" s="307">
        <v>1</v>
      </c>
      <c r="F756" s="311">
        <v>400</v>
      </c>
      <c r="G756" s="303">
        <f>78-(12)</f>
        <v>66</v>
      </c>
      <c r="H756" s="305"/>
      <c r="I756" s="305"/>
    </row>
    <row r="757" spans="1:9" x14ac:dyDescent="0.2">
      <c r="A757" s="310" t="s">
        <v>1362</v>
      </c>
      <c r="B757" s="310" t="s">
        <v>1365</v>
      </c>
      <c r="C757" s="309">
        <v>42127</v>
      </c>
      <c r="D757" s="308" t="s">
        <v>1588</v>
      </c>
      <c r="E757" s="307">
        <v>1</v>
      </c>
      <c r="F757" s="311">
        <v>400</v>
      </c>
      <c r="G757" s="303">
        <f>78-(12)</f>
        <v>66</v>
      </c>
      <c r="H757" s="305"/>
      <c r="I757" s="305"/>
    </row>
    <row r="758" spans="1:9" x14ac:dyDescent="0.2">
      <c r="A758" s="310" t="s">
        <v>1362</v>
      </c>
      <c r="B758" s="310" t="s">
        <v>1365</v>
      </c>
      <c r="C758" s="309">
        <v>42654</v>
      </c>
      <c r="D758" s="308" t="s">
        <v>2316</v>
      </c>
      <c r="E758" s="307">
        <v>1</v>
      </c>
      <c r="F758" s="311">
        <v>400</v>
      </c>
      <c r="G758" s="303">
        <f>78-(12)</f>
        <v>66</v>
      </c>
      <c r="H758" s="305"/>
      <c r="I758" s="305"/>
    </row>
    <row r="759" spans="1:9" x14ac:dyDescent="0.2">
      <c r="A759" s="310" t="s">
        <v>1360</v>
      </c>
      <c r="B759" s="310" t="s">
        <v>1371</v>
      </c>
      <c r="C759" s="309">
        <v>42504</v>
      </c>
      <c r="D759" s="308" t="s">
        <v>2923</v>
      </c>
      <c r="E759" s="307">
        <v>1</v>
      </c>
      <c r="F759" s="311">
        <v>275</v>
      </c>
      <c r="G759" s="306">
        <f>62+(4)</f>
        <v>66</v>
      </c>
      <c r="H759" s="305"/>
      <c r="I759" s="305"/>
    </row>
    <row r="760" spans="1:9" x14ac:dyDescent="0.2">
      <c r="A760" s="310" t="s">
        <v>1359</v>
      </c>
      <c r="B760" s="310" t="s">
        <v>1363</v>
      </c>
      <c r="C760" s="309">
        <v>42064</v>
      </c>
      <c r="D760" s="308" t="s">
        <v>1504</v>
      </c>
      <c r="E760" s="307">
        <v>1</v>
      </c>
      <c r="F760" s="311">
        <v>400</v>
      </c>
      <c r="G760" s="307">
        <v>66</v>
      </c>
      <c r="H760" s="305"/>
      <c r="I760" s="305"/>
    </row>
    <row r="761" spans="1:9" x14ac:dyDescent="0.2">
      <c r="A761" s="310" t="s">
        <v>1359</v>
      </c>
      <c r="B761" s="310" t="s">
        <v>1363</v>
      </c>
      <c r="C761" s="309">
        <v>42064</v>
      </c>
      <c r="D761" s="308" t="s">
        <v>1502</v>
      </c>
      <c r="E761" s="307">
        <v>1</v>
      </c>
      <c r="F761" s="311">
        <v>400</v>
      </c>
      <c r="G761" s="307">
        <v>66</v>
      </c>
      <c r="H761" s="305"/>
      <c r="I761" s="305"/>
    </row>
    <row r="762" spans="1:9" x14ac:dyDescent="0.2">
      <c r="A762" s="310" t="s">
        <v>1359</v>
      </c>
      <c r="B762" s="310" t="s">
        <v>1363</v>
      </c>
      <c r="C762" s="309">
        <v>42424</v>
      </c>
      <c r="D762" s="308" t="s">
        <v>2978</v>
      </c>
      <c r="E762" s="307">
        <v>1</v>
      </c>
      <c r="F762" s="311">
        <v>400</v>
      </c>
      <c r="G762" s="307">
        <v>66</v>
      </c>
      <c r="H762" s="305"/>
      <c r="I762" s="305"/>
    </row>
    <row r="763" spans="1:9" x14ac:dyDescent="0.2">
      <c r="A763" s="310" t="s">
        <v>1359</v>
      </c>
      <c r="B763" s="310" t="s">
        <v>1363</v>
      </c>
      <c r="C763" s="309">
        <v>42424</v>
      </c>
      <c r="D763" s="308" t="s">
        <v>2952</v>
      </c>
      <c r="E763" s="307">
        <v>1</v>
      </c>
      <c r="F763" s="311">
        <v>400</v>
      </c>
      <c r="G763" s="307">
        <v>66</v>
      </c>
      <c r="H763" s="305"/>
      <c r="I763" s="305"/>
    </row>
    <row r="764" spans="1:9" x14ac:dyDescent="0.2">
      <c r="A764" s="310" t="s">
        <v>1358</v>
      </c>
      <c r="B764" s="310" t="s">
        <v>1375</v>
      </c>
      <c r="C764" s="309">
        <v>42289</v>
      </c>
      <c r="D764" s="308" t="s">
        <v>1424</v>
      </c>
      <c r="E764" s="307">
        <v>1</v>
      </c>
      <c r="F764" s="311">
        <v>300</v>
      </c>
      <c r="G764" s="307">
        <v>66</v>
      </c>
      <c r="H764" s="305"/>
      <c r="I764" s="305"/>
    </row>
    <row r="765" spans="1:9" x14ac:dyDescent="0.2">
      <c r="A765" s="310" t="s">
        <v>1319</v>
      </c>
      <c r="B765" s="310" t="s">
        <v>1361</v>
      </c>
      <c r="C765" s="309">
        <v>42019</v>
      </c>
      <c r="D765" s="308" t="s">
        <v>1835</v>
      </c>
      <c r="E765" s="307">
        <v>1</v>
      </c>
      <c r="F765" s="311">
        <v>100</v>
      </c>
      <c r="G765" s="303">
        <f>72-(5)</f>
        <v>67</v>
      </c>
      <c r="H765" s="305"/>
      <c r="I765" s="305"/>
    </row>
    <row r="766" spans="1:9" x14ac:dyDescent="0.2">
      <c r="A766" s="310" t="s">
        <v>1319</v>
      </c>
      <c r="B766" s="310" t="s">
        <v>1361</v>
      </c>
      <c r="C766" s="309">
        <v>42019</v>
      </c>
      <c r="D766" s="308" t="s">
        <v>1432</v>
      </c>
      <c r="E766" s="307">
        <v>1</v>
      </c>
      <c r="F766" s="311">
        <v>100</v>
      </c>
      <c r="G766" s="303">
        <f>72-(5)</f>
        <v>67</v>
      </c>
      <c r="H766" s="305"/>
      <c r="I766" s="305"/>
    </row>
    <row r="767" spans="1:9" x14ac:dyDescent="0.2">
      <c r="A767" s="310" t="s">
        <v>1319</v>
      </c>
      <c r="B767" s="310" t="s">
        <v>1373</v>
      </c>
      <c r="C767" s="309">
        <v>42084</v>
      </c>
      <c r="D767" s="308" t="s">
        <v>1615</v>
      </c>
      <c r="E767" s="307">
        <v>1</v>
      </c>
      <c r="F767" s="311">
        <v>100</v>
      </c>
      <c r="G767" s="306">
        <f>74-(7)</f>
        <v>67</v>
      </c>
      <c r="H767" s="305"/>
      <c r="I767" s="305"/>
    </row>
    <row r="768" spans="1:9" x14ac:dyDescent="0.2">
      <c r="A768" s="310" t="s">
        <v>1319</v>
      </c>
      <c r="B768" s="310" t="s">
        <v>1373</v>
      </c>
      <c r="C768" s="309">
        <v>42415</v>
      </c>
      <c r="D768" s="308" t="s">
        <v>2080</v>
      </c>
      <c r="E768" s="307">
        <v>1</v>
      </c>
      <c r="F768" s="311">
        <v>120</v>
      </c>
      <c r="G768" s="306">
        <f>74-(7)</f>
        <v>67</v>
      </c>
      <c r="H768" s="305"/>
      <c r="I768" s="305"/>
    </row>
    <row r="769" spans="1:9" x14ac:dyDescent="0.2">
      <c r="A769" s="310" t="s">
        <v>1319</v>
      </c>
      <c r="B769" s="310" t="s">
        <v>1373</v>
      </c>
      <c r="C769" s="309">
        <v>42415</v>
      </c>
      <c r="D769" s="308" t="s">
        <v>2061</v>
      </c>
      <c r="E769" s="307">
        <v>1</v>
      </c>
      <c r="F769" s="311">
        <v>120</v>
      </c>
      <c r="G769" s="306">
        <f>74-(7)</f>
        <v>67</v>
      </c>
      <c r="H769" s="305"/>
      <c r="I769" s="305"/>
    </row>
    <row r="770" spans="1:9" x14ac:dyDescent="0.2">
      <c r="A770" s="310" t="s">
        <v>1319</v>
      </c>
      <c r="B770" s="310" t="s">
        <v>1371</v>
      </c>
      <c r="C770" s="309">
        <v>42476</v>
      </c>
      <c r="D770" s="308" t="s">
        <v>2139</v>
      </c>
      <c r="E770" s="307">
        <v>1</v>
      </c>
      <c r="F770" s="311">
        <v>120</v>
      </c>
      <c r="G770" s="306">
        <f>63+(4)</f>
        <v>67</v>
      </c>
      <c r="H770" s="305"/>
      <c r="I770" s="305"/>
    </row>
    <row r="771" spans="1:9" x14ac:dyDescent="0.2">
      <c r="A771" s="310" t="s">
        <v>1374</v>
      </c>
      <c r="B771" s="310" t="s">
        <v>1369</v>
      </c>
      <c r="C771" s="309">
        <v>42227</v>
      </c>
      <c r="D771" s="308" t="s">
        <v>1526</v>
      </c>
      <c r="E771" s="307">
        <v>1</v>
      </c>
      <c r="F771" s="311">
        <v>300</v>
      </c>
      <c r="G771" s="307">
        <v>67</v>
      </c>
      <c r="H771" s="305"/>
      <c r="I771" s="305"/>
    </row>
    <row r="772" spans="1:9" x14ac:dyDescent="0.2">
      <c r="A772" s="310" t="s">
        <v>1374</v>
      </c>
      <c r="B772" s="310" t="s">
        <v>1369</v>
      </c>
      <c r="C772" s="309">
        <v>42227</v>
      </c>
      <c r="D772" s="308" t="s">
        <v>1502</v>
      </c>
      <c r="E772" s="307">
        <v>1</v>
      </c>
      <c r="F772" s="311">
        <v>300</v>
      </c>
      <c r="G772" s="307">
        <v>67</v>
      </c>
      <c r="H772" s="305"/>
      <c r="I772" s="305"/>
    </row>
    <row r="773" spans="1:9" x14ac:dyDescent="0.2">
      <c r="A773" s="310" t="s">
        <v>1374</v>
      </c>
      <c r="B773" s="310" t="s">
        <v>1369</v>
      </c>
      <c r="C773" s="309">
        <v>42531</v>
      </c>
      <c r="D773" s="308" t="s">
        <v>2247</v>
      </c>
      <c r="E773" s="307">
        <v>1</v>
      </c>
      <c r="F773" s="311">
        <v>320</v>
      </c>
      <c r="G773" s="307">
        <v>67</v>
      </c>
      <c r="H773" s="305"/>
      <c r="I773" s="305"/>
    </row>
    <row r="774" spans="1:9" x14ac:dyDescent="0.2">
      <c r="A774" s="310" t="s">
        <v>1372</v>
      </c>
      <c r="B774" s="310" t="s">
        <v>1363</v>
      </c>
      <c r="C774" s="309">
        <v>42685</v>
      </c>
      <c r="D774" s="308" t="s">
        <v>2300</v>
      </c>
      <c r="E774" s="307">
        <v>1</v>
      </c>
      <c r="F774" s="311">
        <v>310</v>
      </c>
      <c r="G774" s="307">
        <v>67</v>
      </c>
      <c r="H774" s="305"/>
      <c r="I774" s="305"/>
    </row>
    <row r="775" spans="1:9" x14ac:dyDescent="0.2">
      <c r="A775" s="310" t="s">
        <v>1370</v>
      </c>
      <c r="B775" s="310" t="s">
        <v>1361</v>
      </c>
      <c r="C775" s="309">
        <v>42447</v>
      </c>
      <c r="D775" s="308" t="s">
        <v>2407</v>
      </c>
      <c r="E775" s="307">
        <v>1</v>
      </c>
      <c r="F775" s="311">
        <v>500</v>
      </c>
      <c r="G775" s="303">
        <f>72-(5)</f>
        <v>67</v>
      </c>
      <c r="H775" s="305"/>
      <c r="I775" s="305"/>
    </row>
    <row r="776" spans="1:9" x14ac:dyDescent="0.2">
      <c r="A776" s="310" t="s">
        <v>1370</v>
      </c>
      <c r="B776" s="310" t="s">
        <v>1361</v>
      </c>
      <c r="C776" s="309">
        <v>42447</v>
      </c>
      <c r="D776" s="308" t="s">
        <v>2405</v>
      </c>
      <c r="E776" s="307">
        <v>1</v>
      </c>
      <c r="F776" s="311">
        <v>500</v>
      </c>
      <c r="G776" s="303">
        <f>72-(5)</f>
        <v>67</v>
      </c>
      <c r="H776" s="305"/>
      <c r="I776" s="305"/>
    </row>
    <row r="777" spans="1:9" x14ac:dyDescent="0.2">
      <c r="A777" s="310" t="s">
        <v>1368</v>
      </c>
      <c r="B777" s="310" t="s">
        <v>1367</v>
      </c>
      <c r="C777" s="309">
        <v>42170</v>
      </c>
      <c r="D777" s="308" t="s">
        <v>1804</v>
      </c>
      <c r="E777" s="307">
        <v>1</v>
      </c>
      <c r="F777" s="311">
        <v>200</v>
      </c>
      <c r="G777" s="306">
        <v>67</v>
      </c>
      <c r="H777" s="305"/>
      <c r="I777" s="305"/>
    </row>
    <row r="778" spans="1:9" x14ac:dyDescent="0.2">
      <c r="A778" s="310" t="s">
        <v>1368</v>
      </c>
      <c r="B778" s="310" t="s">
        <v>1367</v>
      </c>
      <c r="C778" s="309">
        <v>42170</v>
      </c>
      <c r="D778" s="308" t="s">
        <v>1679</v>
      </c>
      <c r="E778" s="307">
        <v>1</v>
      </c>
      <c r="F778" s="311">
        <v>200</v>
      </c>
      <c r="G778" s="306">
        <v>67</v>
      </c>
      <c r="H778" s="305"/>
      <c r="I778" s="305"/>
    </row>
    <row r="779" spans="1:9" x14ac:dyDescent="0.2">
      <c r="A779" s="310" t="s">
        <v>1368</v>
      </c>
      <c r="B779" s="310" t="s">
        <v>1371</v>
      </c>
      <c r="C779" s="309">
        <v>42340</v>
      </c>
      <c r="D779" s="308" t="s">
        <v>1708</v>
      </c>
      <c r="E779" s="307">
        <v>1</v>
      </c>
      <c r="F779" s="311">
        <v>200</v>
      </c>
      <c r="G779" s="306">
        <f>63+(4)</f>
        <v>67</v>
      </c>
      <c r="H779" s="305"/>
      <c r="I779" s="305"/>
    </row>
    <row r="780" spans="1:9" x14ac:dyDescent="0.2">
      <c r="A780" s="310" t="s">
        <v>1368</v>
      </c>
      <c r="B780" s="310" t="s">
        <v>1371</v>
      </c>
      <c r="C780" s="309">
        <v>42412</v>
      </c>
      <c r="D780" s="308" t="s">
        <v>2428</v>
      </c>
      <c r="E780" s="307">
        <v>1</v>
      </c>
      <c r="F780" s="311">
        <v>200</v>
      </c>
      <c r="G780" s="306">
        <f>63+(4)</f>
        <v>67</v>
      </c>
      <c r="H780" s="305"/>
      <c r="I780" s="305"/>
    </row>
    <row r="781" spans="1:9" x14ac:dyDescent="0.2">
      <c r="A781" s="310" t="s">
        <v>1368</v>
      </c>
      <c r="B781" s="310" t="s">
        <v>1367</v>
      </c>
      <c r="C781" s="309">
        <v>42439</v>
      </c>
      <c r="D781" s="308" t="s">
        <v>2465</v>
      </c>
      <c r="E781" s="307">
        <v>1</v>
      </c>
      <c r="F781" s="311">
        <v>200</v>
      </c>
      <c r="G781" s="306">
        <v>67</v>
      </c>
      <c r="H781" s="305"/>
      <c r="I781" s="305"/>
    </row>
    <row r="782" spans="1:9" x14ac:dyDescent="0.2">
      <c r="A782" s="310" t="s">
        <v>1368</v>
      </c>
      <c r="B782" s="310" t="s">
        <v>1367</v>
      </c>
      <c r="C782" s="309">
        <v>42461</v>
      </c>
      <c r="D782" s="308" t="s">
        <v>2497</v>
      </c>
      <c r="E782" s="307">
        <v>1</v>
      </c>
      <c r="F782" s="311">
        <v>200</v>
      </c>
      <c r="G782" s="306">
        <v>67</v>
      </c>
      <c r="H782" s="305"/>
      <c r="I782" s="305"/>
    </row>
    <row r="783" spans="1:9" x14ac:dyDescent="0.2">
      <c r="A783" s="310" t="s">
        <v>1368</v>
      </c>
      <c r="B783" s="310" t="s">
        <v>1367</v>
      </c>
      <c r="C783" s="309">
        <v>42545</v>
      </c>
      <c r="D783" s="308" t="s">
        <v>2581</v>
      </c>
      <c r="E783" s="307">
        <v>1</v>
      </c>
      <c r="F783" s="311">
        <v>200</v>
      </c>
      <c r="G783" s="306">
        <v>67</v>
      </c>
      <c r="H783" s="305"/>
      <c r="I783" s="305"/>
    </row>
    <row r="784" spans="1:9" x14ac:dyDescent="0.2">
      <c r="A784" s="310" t="s">
        <v>1366</v>
      </c>
      <c r="B784" s="310" t="s">
        <v>1376</v>
      </c>
      <c r="C784" s="309">
        <v>42259</v>
      </c>
      <c r="D784" s="308" t="s">
        <v>1734</v>
      </c>
      <c r="E784" s="307">
        <v>1</v>
      </c>
      <c r="F784" s="311">
        <v>350</v>
      </c>
      <c r="G784" s="306">
        <v>67</v>
      </c>
      <c r="H784" s="305"/>
      <c r="I784" s="305"/>
    </row>
    <row r="785" spans="1:9" x14ac:dyDescent="0.2">
      <c r="A785" s="310" t="s">
        <v>1366</v>
      </c>
      <c r="B785" s="310" t="s">
        <v>1376</v>
      </c>
      <c r="C785" s="309">
        <v>42259</v>
      </c>
      <c r="D785" s="308" t="s">
        <v>1502</v>
      </c>
      <c r="E785" s="307">
        <v>1</v>
      </c>
      <c r="F785" s="311">
        <v>350</v>
      </c>
      <c r="G785" s="306">
        <v>67</v>
      </c>
      <c r="H785" s="305"/>
      <c r="I785" s="305"/>
    </row>
    <row r="786" spans="1:9" x14ac:dyDescent="0.2">
      <c r="A786" s="310" t="s">
        <v>1364</v>
      </c>
      <c r="B786" s="310" t="s">
        <v>1367</v>
      </c>
      <c r="C786" s="309">
        <v>42091</v>
      </c>
      <c r="D786" s="308" t="s">
        <v>1412</v>
      </c>
      <c r="E786" s="307">
        <v>1</v>
      </c>
      <c r="F786" s="311">
        <v>600</v>
      </c>
      <c r="G786" s="306">
        <v>67</v>
      </c>
      <c r="H786" s="305"/>
      <c r="I786" s="305"/>
    </row>
    <row r="787" spans="1:9" x14ac:dyDescent="0.2">
      <c r="A787" s="310" t="s">
        <v>1364</v>
      </c>
      <c r="B787" s="310" t="s">
        <v>1371</v>
      </c>
      <c r="C787" s="309">
        <v>42157</v>
      </c>
      <c r="D787" s="308" t="s">
        <v>1504</v>
      </c>
      <c r="E787" s="307">
        <v>1</v>
      </c>
      <c r="F787" s="311">
        <v>600</v>
      </c>
      <c r="G787" s="306">
        <f>63+(4)</f>
        <v>67</v>
      </c>
      <c r="H787" s="305"/>
      <c r="I787" s="305"/>
    </row>
    <row r="788" spans="1:9" x14ac:dyDescent="0.2">
      <c r="A788" s="310" t="s">
        <v>1364</v>
      </c>
      <c r="B788" s="310" t="s">
        <v>1371</v>
      </c>
      <c r="C788" s="309">
        <v>42430</v>
      </c>
      <c r="D788" s="308" t="s">
        <v>2724</v>
      </c>
      <c r="E788" s="307">
        <v>1</v>
      </c>
      <c r="F788" s="311">
        <v>650</v>
      </c>
      <c r="G788" s="306">
        <f>63+(4)</f>
        <v>67</v>
      </c>
      <c r="H788" s="305"/>
      <c r="I788" s="305"/>
    </row>
    <row r="789" spans="1:9" x14ac:dyDescent="0.2">
      <c r="A789" s="310" t="s">
        <v>1362</v>
      </c>
      <c r="B789" s="310" t="s">
        <v>1365</v>
      </c>
      <c r="C789" s="309">
        <v>42058</v>
      </c>
      <c r="D789" s="308" t="s">
        <v>1528</v>
      </c>
      <c r="E789" s="307">
        <v>1</v>
      </c>
      <c r="F789" s="311">
        <v>400</v>
      </c>
      <c r="G789" s="303">
        <f t="shared" ref="G789:G795" si="8">79-(12)</f>
        <v>67</v>
      </c>
      <c r="H789" s="305"/>
      <c r="I789" s="305"/>
    </row>
    <row r="790" spans="1:9" x14ac:dyDescent="0.2">
      <c r="A790" s="310" t="s">
        <v>1362</v>
      </c>
      <c r="B790" s="310" t="s">
        <v>1365</v>
      </c>
      <c r="C790" s="309">
        <v>42058</v>
      </c>
      <c r="D790" s="308" t="s">
        <v>1640</v>
      </c>
      <c r="E790" s="307">
        <v>1</v>
      </c>
      <c r="F790" s="311">
        <v>400</v>
      </c>
      <c r="G790" s="303">
        <f t="shared" si="8"/>
        <v>67</v>
      </c>
      <c r="H790" s="305"/>
      <c r="I790" s="305"/>
    </row>
    <row r="791" spans="1:9" x14ac:dyDescent="0.2">
      <c r="A791" s="310" t="s">
        <v>1362</v>
      </c>
      <c r="B791" s="310" t="s">
        <v>1365</v>
      </c>
      <c r="C791" s="309">
        <v>42268</v>
      </c>
      <c r="D791" s="308" t="s">
        <v>1582</v>
      </c>
      <c r="E791" s="307">
        <v>1</v>
      </c>
      <c r="F791" s="311">
        <v>400</v>
      </c>
      <c r="G791" s="303">
        <f t="shared" si="8"/>
        <v>67</v>
      </c>
      <c r="H791" s="305"/>
      <c r="I791" s="305"/>
    </row>
    <row r="792" spans="1:9" x14ac:dyDescent="0.2">
      <c r="A792" s="310" t="s">
        <v>1362</v>
      </c>
      <c r="B792" s="310" t="s">
        <v>1365</v>
      </c>
      <c r="C792" s="309">
        <v>42592</v>
      </c>
      <c r="D792" s="308" t="s">
        <v>2835</v>
      </c>
      <c r="E792" s="307">
        <v>1</v>
      </c>
      <c r="F792" s="311">
        <v>400</v>
      </c>
      <c r="G792" s="303">
        <f t="shared" si="8"/>
        <v>67</v>
      </c>
      <c r="H792" s="305"/>
      <c r="I792" s="305"/>
    </row>
    <row r="793" spans="1:9" x14ac:dyDescent="0.2">
      <c r="A793" s="310" t="s">
        <v>1362</v>
      </c>
      <c r="B793" s="310" t="s">
        <v>1365</v>
      </c>
      <c r="C793" s="309">
        <v>42654</v>
      </c>
      <c r="D793" s="308" t="s">
        <v>2896</v>
      </c>
      <c r="E793" s="307">
        <v>1</v>
      </c>
      <c r="F793" s="311">
        <v>400</v>
      </c>
      <c r="G793" s="303">
        <f t="shared" si="8"/>
        <v>67</v>
      </c>
      <c r="H793" s="305"/>
      <c r="I793" s="305"/>
    </row>
    <row r="794" spans="1:9" x14ac:dyDescent="0.2">
      <c r="A794" s="310" t="s">
        <v>1362</v>
      </c>
      <c r="B794" s="310" t="s">
        <v>1365</v>
      </c>
      <c r="C794" s="309">
        <v>42654</v>
      </c>
      <c r="D794" s="308" t="s">
        <v>2851</v>
      </c>
      <c r="E794" s="307">
        <v>1</v>
      </c>
      <c r="F794" s="311">
        <v>400</v>
      </c>
      <c r="G794" s="303">
        <f t="shared" si="8"/>
        <v>67</v>
      </c>
      <c r="H794" s="305"/>
      <c r="I794" s="305"/>
    </row>
    <row r="795" spans="1:9" x14ac:dyDescent="0.2">
      <c r="A795" s="310" t="s">
        <v>1362</v>
      </c>
      <c r="B795" s="310" t="s">
        <v>1365</v>
      </c>
      <c r="C795" s="309">
        <v>42654</v>
      </c>
      <c r="D795" s="308" t="s">
        <v>2875</v>
      </c>
      <c r="E795" s="307">
        <v>1</v>
      </c>
      <c r="F795" s="311">
        <v>400</v>
      </c>
      <c r="G795" s="303">
        <f t="shared" si="8"/>
        <v>67</v>
      </c>
      <c r="H795" s="305"/>
      <c r="I795" s="305"/>
    </row>
    <row r="796" spans="1:9" x14ac:dyDescent="0.2">
      <c r="A796" s="310" t="s">
        <v>1360</v>
      </c>
      <c r="B796" s="310" t="s">
        <v>1371</v>
      </c>
      <c r="C796" s="309">
        <v>42022</v>
      </c>
      <c r="D796" s="308" t="s">
        <v>1555</v>
      </c>
      <c r="E796" s="307">
        <v>1</v>
      </c>
      <c r="F796" s="311">
        <v>250</v>
      </c>
      <c r="G796" s="306">
        <f>63+(4)</f>
        <v>67</v>
      </c>
      <c r="H796" s="305"/>
      <c r="I796" s="305"/>
    </row>
    <row r="797" spans="1:9" x14ac:dyDescent="0.2">
      <c r="A797" s="310" t="s">
        <v>1360</v>
      </c>
      <c r="B797" s="310" t="s">
        <v>1371</v>
      </c>
      <c r="C797" s="309">
        <v>42504</v>
      </c>
      <c r="D797" s="308" t="s">
        <v>2229</v>
      </c>
      <c r="E797" s="307">
        <v>1</v>
      </c>
      <c r="F797" s="311">
        <v>275</v>
      </c>
      <c r="G797" s="306">
        <f>63+(4)</f>
        <v>67</v>
      </c>
      <c r="H797" s="305"/>
      <c r="I797" s="305"/>
    </row>
    <row r="798" spans="1:9" x14ac:dyDescent="0.2">
      <c r="A798" s="310" t="s">
        <v>1359</v>
      </c>
      <c r="B798" s="310" t="s">
        <v>1363</v>
      </c>
      <c r="C798" s="309">
        <v>42064</v>
      </c>
      <c r="D798" s="308" t="s">
        <v>1499</v>
      </c>
      <c r="E798" s="307">
        <v>1</v>
      </c>
      <c r="F798" s="311">
        <v>400</v>
      </c>
      <c r="G798" s="307">
        <v>67</v>
      </c>
      <c r="H798" s="305"/>
      <c r="I798" s="305"/>
    </row>
    <row r="799" spans="1:9" x14ac:dyDescent="0.2">
      <c r="A799" s="310" t="s">
        <v>1359</v>
      </c>
      <c r="B799" s="310" t="s">
        <v>1363</v>
      </c>
      <c r="C799" s="309">
        <v>42623</v>
      </c>
      <c r="D799" s="308" t="s">
        <v>3004</v>
      </c>
      <c r="E799" s="307">
        <v>1</v>
      </c>
      <c r="F799" s="311">
        <v>400</v>
      </c>
      <c r="G799" s="307">
        <v>67</v>
      </c>
      <c r="H799" s="305"/>
      <c r="I799" s="305"/>
    </row>
    <row r="800" spans="1:9" x14ac:dyDescent="0.2">
      <c r="A800" s="310" t="s">
        <v>1358</v>
      </c>
      <c r="B800" s="310" t="s">
        <v>1375</v>
      </c>
      <c r="C800" s="309">
        <v>42037</v>
      </c>
      <c r="D800" s="308" t="s">
        <v>1456</v>
      </c>
      <c r="E800" s="307">
        <v>1</v>
      </c>
      <c r="F800" s="311">
        <v>300</v>
      </c>
      <c r="G800" s="307">
        <v>67</v>
      </c>
      <c r="H800" s="305"/>
      <c r="I800" s="305"/>
    </row>
    <row r="801" spans="1:9" x14ac:dyDescent="0.2">
      <c r="A801" s="310" t="s">
        <v>1358</v>
      </c>
      <c r="B801" s="310" t="s">
        <v>1375</v>
      </c>
      <c r="C801" s="309">
        <v>42289</v>
      </c>
      <c r="D801" s="308" t="s">
        <v>1417</v>
      </c>
      <c r="E801" s="307">
        <v>1</v>
      </c>
      <c r="F801" s="311">
        <v>300</v>
      </c>
      <c r="G801" s="307">
        <v>67</v>
      </c>
      <c r="H801" s="305"/>
      <c r="I801" s="305"/>
    </row>
    <row r="802" spans="1:9" x14ac:dyDescent="0.2">
      <c r="A802" s="310" t="s">
        <v>1358</v>
      </c>
      <c r="B802" s="310" t="s">
        <v>1375</v>
      </c>
      <c r="C802" s="309">
        <v>42289</v>
      </c>
      <c r="D802" s="308" t="s">
        <v>1404</v>
      </c>
      <c r="E802" s="307">
        <v>1</v>
      </c>
      <c r="F802" s="311">
        <v>300</v>
      </c>
      <c r="G802" s="307">
        <v>67</v>
      </c>
      <c r="H802" s="305"/>
      <c r="I802" s="305"/>
    </row>
    <row r="803" spans="1:9" x14ac:dyDescent="0.2">
      <c r="A803" s="310" t="s">
        <v>1358</v>
      </c>
      <c r="B803" s="310" t="s">
        <v>1375</v>
      </c>
      <c r="C803" s="309">
        <v>42289</v>
      </c>
      <c r="D803" s="308" t="s">
        <v>1403</v>
      </c>
      <c r="E803" s="307">
        <v>1</v>
      </c>
      <c r="F803" s="311">
        <v>300</v>
      </c>
      <c r="G803" s="307">
        <v>67</v>
      </c>
      <c r="H803" s="305"/>
      <c r="I803" s="305"/>
    </row>
    <row r="804" spans="1:9" x14ac:dyDescent="0.2">
      <c r="A804" s="310" t="s">
        <v>1358</v>
      </c>
      <c r="B804" s="310" t="s">
        <v>1375</v>
      </c>
      <c r="C804" s="309">
        <v>42544</v>
      </c>
      <c r="D804" s="308" t="s">
        <v>3058</v>
      </c>
      <c r="E804" s="307">
        <v>1</v>
      </c>
      <c r="F804" s="311">
        <v>320</v>
      </c>
      <c r="G804" s="307">
        <v>67</v>
      </c>
      <c r="H804" s="305"/>
      <c r="I804" s="305"/>
    </row>
    <row r="805" spans="1:9" x14ac:dyDescent="0.2">
      <c r="A805" s="310" t="s">
        <v>1319</v>
      </c>
      <c r="B805" s="310" t="s">
        <v>1371</v>
      </c>
      <c r="C805" s="309">
        <v>42258</v>
      </c>
      <c r="D805" s="308" t="s">
        <v>1694</v>
      </c>
      <c r="E805" s="307">
        <v>1</v>
      </c>
      <c r="F805" s="311">
        <v>100</v>
      </c>
      <c r="G805" s="306">
        <f>64+(4)</f>
        <v>68</v>
      </c>
      <c r="H805" s="305"/>
      <c r="I805" s="305"/>
    </row>
    <row r="806" spans="1:9" x14ac:dyDescent="0.2">
      <c r="A806" s="310" t="s">
        <v>1319</v>
      </c>
      <c r="B806" s="310" t="s">
        <v>1373</v>
      </c>
      <c r="C806" s="309">
        <v>42415</v>
      </c>
      <c r="D806" s="308" t="s">
        <v>2076</v>
      </c>
      <c r="E806" s="307">
        <v>1</v>
      </c>
      <c r="F806" s="311">
        <v>120</v>
      </c>
      <c r="G806" s="306">
        <f>75-(7)</f>
        <v>68</v>
      </c>
      <c r="H806" s="305"/>
      <c r="I806" s="305"/>
    </row>
    <row r="807" spans="1:9" x14ac:dyDescent="0.2">
      <c r="A807" s="310" t="s">
        <v>1313</v>
      </c>
      <c r="B807" s="310" t="s">
        <v>1373</v>
      </c>
      <c r="C807" s="309">
        <v>42384</v>
      </c>
      <c r="D807" s="308" t="s">
        <v>2174</v>
      </c>
      <c r="E807" s="307">
        <v>1</v>
      </c>
      <c r="F807" s="311">
        <v>210</v>
      </c>
      <c r="G807" s="306">
        <f>75-(7)</f>
        <v>68</v>
      </c>
      <c r="H807" s="305"/>
      <c r="I807" s="305"/>
    </row>
    <row r="808" spans="1:9" x14ac:dyDescent="0.2">
      <c r="A808" s="310" t="s">
        <v>1372</v>
      </c>
      <c r="B808" s="310" t="s">
        <v>1363</v>
      </c>
      <c r="C808" s="309">
        <v>42271</v>
      </c>
      <c r="D808" s="308" t="s">
        <v>1861</v>
      </c>
      <c r="E808" s="307">
        <v>1</v>
      </c>
      <c r="F808" s="311">
        <v>300</v>
      </c>
      <c r="G808" s="307">
        <v>68</v>
      </c>
      <c r="H808" s="305"/>
      <c r="I808" s="305"/>
    </row>
    <row r="809" spans="1:9" x14ac:dyDescent="0.2">
      <c r="A809" s="310" t="s">
        <v>1370</v>
      </c>
      <c r="B809" s="310" t="s">
        <v>1361</v>
      </c>
      <c r="C809" s="309">
        <v>42036</v>
      </c>
      <c r="D809" s="308" t="s">
        <v>1599</v>
      </c>
      <c r="E809" s="307">
        <v>1</v>
      </c>
      <c r="F809" s="311">
        <v>500</v>
      </c>
      <c r="G809" s="303">
        <f>73-(5)</f>
        <v>68</v>
      </c>
      <c r="H809" s="305"/>
      <c r="I809" s="305"/>
    </row>
    <row r="810" spans="1:9" x14ac:dyDescent="0.2">
      <c r="A810" s="310" t="s">
        <v>1370</v>
      </c>
      <c r="B810" s="310" t="s">
        <v>1361</v>
      </c>
      <c r="C810" s="309">
        <v>42036</v>
      </c>
      <c r="D810" s="308" t="s">
        <v>1915</v>
      </c>
      <c r="E810" s="307">
        <v>1</v>
      </c>
      <c r="F810" s="311">
        <v>500</v>
      </c>
      <c r="G810" s="303">
        <f>73-(5)</f>
        <v>68</v>
      </c>
      <c r="H810" s="305"/>
      <c r="I810" s="305"/>
    </row>
    <row r="811" spans="1:9" x14ac:dyDescent="0.2">
      <c r="A811" s="310" t="s">
        <v>1370</v>
      </c>
      <c r="B811" s="310" t="s">
        <v>1361</v>
      </c>
      <c r="C811" s="309">
        <v>42036</v>
      </c>
      <c r="D811" s="308" t="s">
        <v>1875</v>
      </c>
      <c r="E811" s="307">
        <v>1</v>
      </c>
      <c r="F811" s="311">
        <v>500</v>
      </c>
      <c r="G811" s="303">
        <f>73-(5)</f>
        <v>68</v>
      </c>
      <c r="H811" s="305"/>
      <c r="I811" s="305"/>
    </row>
    <row r="812" spans="1:9" x14ac:dyDescent="0.2">
      <c r="A812" s="310" t="s">
        <v>1370</v>
      </c>
      <c r="B812" s="310" t="s">
        <v>1361</v>
      </c>
      <c r="C812" s="309">
        <v>42139</v>
      </c>
      <c r="D812" s="308" t="s">
        <v>1903</v>
      </c>
      <c r="E812" s="307">
        <v>1</v>
      </c>
      <c r="F812" s="311">
        <v>500</v>
      </c>
      <c r="G812" s="303">
        <f>73-(5)</f>
        <v>68</v>
      </c>
      <c r="H812" s="305"/>
      <c r="I812" s="305"/>
    </row>
    <row r="813" spans="1:9" x14ac:dyDescent="0.2">
      <c r="A813" s="310" t="s">
        <v>1370</v>
      </c>
      <c r="B813" s="310" t="s">
        <v>1361</v>
      </c>
      <c r="C813" s="309">
        <v>42447</v>
      </c>
      <c r="D813" s="308" t="s">
        <v>2385</v>
      </c>
      <c r="E813" s="307">
        <v>1</v>
      </c>
      <c r="F813" s="311">
        <v>500</v>
      </c>
      <c r="G813" s="303">
        <f>73-(5)</f>
        <v>68</v>
      </c>
      <c r="H813" s="305"/>
      <c r="I813" s="305"/>
    </row>
    <row r="814" spans="1:9" x14ac:dyDescent="0.2">
      <c r="A814" s="310" t="s">
        <v>1370</v>
      </c>
      <c r="B814" s="310" t="s">
        <v>1373</v>
      </c>
      <c r="C814" s="309">
        <v>42658</v>
      </c>
      <c r="D814" s="308" t="s">
        <v>2353</v>
      </c>
      <c r="E814" s="307">
        <v>1</v>
      </c>
      <c r="F814" s="311">
        <v>500</v>
      </c>
      <c r="G814" s="306">
        <f>75-(7)</f>
        <v>68</v>
      </c>
      <c r="H814" s="305"/>
      <c r="I814" s="305"/>
    </row>
    <row r="815" spans="1:9" x14ac:dyDescent="0.2">
      <c r="A815" s="310" t="s">
        <v>1368</v>
      </c>
      <c r="B815" s="310" t="s">
        <v>1367</v>
      </c>
      <c r="C815" s="309">
        <v>42068</v>
      </c>
      <c r="D815" s="308" t="s">
        <v>1830</v>
      </c>
      <c r="E815" s="307">
        <v>1</v>
      </c>
      <c r="F815" s="311">
        <v>200</v>
      </c>
      <c r="G815" s="306">
        <v>68</v>
      </c>
      <c r="H815" s="305"/>
      <c r="I815" s="305"/>
    </row>
    <row r="816" spans="1:9" x14ac:dyDescent="0.2">
      <c r="A816" s="310" t="s">
        <v>1368</v>
      </c>
      <c r="B816" s="310" t="s">
        <v>1367</v>
      </c>
      <c r="C816" s="309">
        <v>42170</v>
      </c>
      <c r="D816" s="308" t="s">
        <v>1480</v>
      </c>
      <c r="E816" s="307">
        <v>1</v>
      </c>
      <c r="F816" s="311">
        <v>200</v>
      </c>
      <c r="G816" s="306">
        <v>68</v>
      </c>
      <c r="H816" s="305"/>
      <c r="I816" s="305"/>
    </row>
    <row r="817" spans="1:9" x14ac:dyDescent="0.2">
      <c r="A817" s="310" t="s">
        <v>1368</v>
      </c>
      <c r="B817" s="310" t="s">
        <v>1367</v>
      </c>
      <c r="C817" s="309">
        <v>42282</v>
      </c>
      <c r="D817" s="308" t="s">
        <v>1767</v>
      </c>
      <c r="E817" s="307">
        <v>1</v>
      </c>
      <c r="F817" s="311">
        <v>200</v>
      </c>
      <c r="G817" s="306">
        <v>68</v>
      </c>
      <c r="H817" s="305"/>
      <c r="I817" s="305"/>
    </row>
    <row r="818" spans="1:9" x14ac:dyDescent="0.2">
      <c r="A818" s="310" t="s">
        <v>1368</v>
      </c>
      <c r="B818" s="310" t="s">
        <v>1371</v>
      </c>
      <c r="C818" s="309">
        <v>42323</v>
      </c>
      <c r="D818" s="308" t="s">
        <v>1895</v>
      </c>
      <c r="E818" s="307">
        <v>1</v>
      </c>
      <c r="F818" s="311">
        <v>200</v>
      </c>
      <c r="G818" s="306">
        <f>64+(4)</f>
        <v>68</v>
      </c>
      <c r="H818" s="305"/>
      <c r="I818" s="305"/>
    </row>
    <row r="819" spans="1:9" x14ac:dyDescent="0.2">
      <c r="A819" s="310" t="s">
        <v>1368</v>
      </c>
      <c r="B819" s="310" t="s">
        <v>1371</v>
      </c>
      <c r="C819" s="309">
        <v>42340</v>
      </c>
      <c r="D819" s="308" t="s">
        <v>1866</v>
      </c>
      <c r="E819" s="307">
        <v>1</v>
      </c>
      <c r="F819" s="311">
        <v>200</v>
      </c>
      <c r="G819" s="306">
        <f>64+(4)</f>
        <v>68</v>
      </c>
      <c r="H819" s="305"/>
      <c r="I819" s="305"/>
    </row>
    <row r="820" spans="1:9" x14ac:dyDescent="0.2">
      <c r="A820" s="310" t="s">
        <v>1368</v>
      </c>
      <c r="B820" s="310" t="s">
        <v>1371</v>
      </c>
      <c r="C820" s="309">
        <v>42340</v>
      </c>
      <c r="D820" s="308" t="s">
        <v>1411</v>
      </c>
      <c r="E820" s="307">
        <v>1</v>
      </c>
      <c r="F820" s="311">
        <v>200</v>
      </c>
      <c r="G820" s="306">
        <f>64+(4)</f>
        <v>68</v>
      </c>
      <c r="H820" s="305"/>
      <c r="I820" s="305"/>
    </row>
    <row r="821" spans="1:9" x14ac:dyDescent="0.2">
      <c r="A821" s="310" t="s">
        <v>1368</v>
      </c>
      <c r="B821" s="310" t="s">
        <v>1367</v>
      </c>
      <c r="C821" s="309">
        <v>42453</v>
      </c>
      <c r="D821" s="308" t="s">
        <v>2483</v>
      </c>
      <c r="E821" s="307">
        <v>1</v>
      </c>
      <c r="F821" s="311">
        <v>200</v>
      </c>
      <c r="G821" s="306">
        <v>68</v>
      </c>
      <c r="H821" s="305"/>
      <c r="I821" s="305"/>
    </row>
    <row r="822" spans="1:9" x14ac:dyDescent="0.2">
      <c r="A822" s="310" t="s">
        <v>1368</v>
      </c>
      <c r="B822" s="310" t="s">
        <v>1367</v>
      </c>
      <c r="C822" s="309">
        <v>42461</v>
      </c>
      <c r="D822" s="308" t="s">
        <v>2487</v>
      </c>
      <c r="E822" s="307">
        <v>1</v>
      </c>
      <c r="F822" s="311">
        <v>200</v>
      </c>
      <c r="G822" s="306">
        <v>68</v>
      </c>
      <c r="H822" s="305"/>
      <c r="I822" s="305"/>
    </row>
    <row r="823" spans="1:9" x14ac:dyDescent="0.2">
      <c r="A823" s="310" t="s">
        <v>1368</v>
      </c>
      <c r="B823" s="310" t="s">
        <v>1367</v>
      </c>
      <c r="C823" s="309">
        <v>42461</v>
      </c>
      <c r="D823" s="308" t="s">
        <v>2491</v>
      </c>
      <c r="E823" s="307">
        <v>1</v>
      </c>
      <c r="F823" s="311">
        <v>200</v>
      </c>
      <c r="G823" s="306">
        <v>68</v>
      </c>
      <c r="H823" s="305"/>
      <c r="I823" s="305"/>
    </row>
    <row r="824" spans="1:9" x14ac:dyDescent="0.2">
      <c r="A824" s="310" t="s">
        <v>1368</v>
      </c>
      <c r="B824" s="310" t="s">
        <v>1367</v>
      </c>
      <c r="C824" s="309">
        <v>42505</v>
      </c>
      <c r="D824" s="308" t="s">
        <v>2564</v>
      </c>
      <c r="E824" s="307">
        <v>1</v>
      </c>
      <c r="F824" s="311">
        <v>200</v>
      </c>
      <c r="G824" s="306">
        <v>68</v>
      </c>
      <c r="H824" s="305"/>
      <c r="I824" s="305"/>
    </row>
    <row r="825" spans="1:9" x14ac:dyDescent="0.2">
      <c r="A825" s="310" t="s">
        <v>1368</v>
      </c>
      <c r="B825" s="310" t="s">
        <v>1367</v>
      </c>
      <c r="C825" s="309">
        <v>42505</v>
      </c>
      <c r="D825" s="308" t="s">
        <v>2546</v>
      </c>
      <c r="E825" s="307">
        <v>1</v>
      </c>
      <c r="F825" s="311">
        <v>200</v>
      </c>
      <c r="G825" s="306">
        <v>68</v>
      </c>
      <c r="H825" s="305"/>
      <c r="I825" s="305"/>
    </row>
    <row r="826" spans="1:9" x14ac:dyDescent="0.2">
      <c r="A826" s="310" t="s">
        <v>1368</v>
      </c>
      <c r="B826" s="310" t="s">
        <v>1367</v>
      </c>
      <c r="C826" s="309">
        <v>42505</v>
      </c>
      <c r="D826" s="308" t="s">
        <v>2537</v>
      </c>
      <c r="E826" s="307">
        <v>1</v>
      </c>
      <c r="F826" s="311">
        <v>200</v>
      </c>
      <c r="G826" s="306">
        <v>68</v>
      </c>
      <c r="H826" s="305"/>
      <c r="I826" s="305"/>
    </row>
    <row r="827" spans="1:9" x14ac:dyDescent="0.2">
      <c r="A827" s="310" t="s">
        <v>1368</v>
      </c>
      <c r="B827" s="310" t="s">
        <v>1367</v>
      </c>
      <c r="C827" s="309">
        <v>42563</v>
      </c>
      <c r="D827" s="308" t="s">
        <v>2586</v>
      </c>
      <c r="E827" s="307">
        <v>1</v>
      </c>
      <c r="F827" s="311">
        <v>200</v>
      </c>
      <c r="G827" s="306">
        <v>68</v>
      </c>
      <c r="H827" s="305"/>
      <c r="I827" s="305"/>
    </row>
    <row r="828" spans="1:9" x14ac:dyDescent="0.2">
      <c r="A828" s="310" t="s">
        <v>1368</v>
      </c>
      <c r="B828" s="310" t="s">
        <v>1367</v>
      </c>
      <c r="C828" s="309">
        <v>42627</v>
      </c>
      <c r="D828" s="308" t="s">
        <v>2648</v>
      </c>
      <c r="E828" s="307">
        <v>1</v>
      </c>
      <c r="F828" s="311">
        <v>200</v>
      </c>
      <c r="G828" s="306">
        <v>68</v>
      </c>
      <c r="H828" s="305"/>
      <c r="I828" s="305"/>
    </row>
    <row r="829" spans="1:9" x14ac:dyDescent="0.2">
      <c r="A829" s="310" t="s">
        <v>1366</v>
      </c>
      <c r="B829" s="310" t="s">
        <v>1376</v>
      </c>
      <c r="C829" s="309">
        <v>42259</v>
      </c>
      <c r="D829" s="308" t="s">
        <v>1745</v>
      </c>
      <c r="E829" s="307">
        <v>1</v>
      </c>
      <c r="F829" s="311">
        <v>350</v>
      </c>
      <c r="G829" s="306">
        <v>68</v>
      </c>
      <c r="H829" s="305"/>
      <c r="I829" s="305"/>
    </row>
    <row r="830" spans="1:9" x14ac:dyDescent="0.2">
      <c r="A830" s="310" t="s">
        <v>1366</v>
      </c>
      <c r="B830" s="310" t="s">
        <v>1376</v>
      </c>
      <c r="C830" s="309">
        <v>42259</v>
      </c>
      <c r="D830" s="308" t="s">
        <v>1703</v>
      </c>
      <c r="E830" s="307">
        <v>1</v>
      </c>
      <c r="F830" s="311">
        <v>350</v>
      </c>
      <c r="G830" s="306">
        <v>68</v>
      </c>
      <c r="H830" s="305"/>
      <c r="I830" s="305"/>
    </row>
    <row r="831" spans="1:9" x14ac:dyDescent="0.2">
      <c r="A831" s="310" t="s">
        <v>1366</v>
      </c>
      <c r="B831" s="310" t="s">
        <v>1376</v>
      </c>
      <c r="C831" s="309">
        <v>42562</v>
      </c>
      <c r="D831" s="308" t="s">
        <v>2653</v>
      </c>
      <c r="E831" s="307">
        <v>1</v>
      </c>
      <c r="F831" s="311">
        <v>380</v>
      </c>
      <c r="G831" s="306">
        <v>68</v>
      </c>
      <c r="H831" s="305"/>
      <c r="I831" s="305"/>
    </row>
    <row r="832" spans="1:9" x14ac:dyDescent="0.2">
      <c r="A832" s="310" t="s">
        <v>1364</v>
      </c>
      <c r="B832" s="310" t="s">
        <v>1371</v>
      </c>
      <c r="C832" s="309">
        <v>42157</v>
      </c>
      <c r="D832" s="308" t="s">
        <v>1720</v>
      </c>
      <c r="E832" s="307">
        <v>1</v>
      </c>
      <c r="F832" s="311">
        <v>600</v>
      </c>
      <c r="G832" s="306">
        <f>64+(4)</f>
        <v>68</v>
      </c>
      <c r="H832" s="305"/>
      <c r="I832" s="305"/>
    </row>
    <row r="833" spans="1:9" x14ac:dyDescent="0.2">
      <c r="A833" s="310" t="s">
        <v>1364</v>
      </c>
      <c r="B833" s="310" t="s">
        <v>1371</v>
      </c>
      <c r="C833" s="309">
        <v>42157</v>
      </c>
      <c r="D833" s="308" t="s">
        <v>1714</v>
      </c>
      <c r="E833" s="307">
        <v>1</v>
      </c>
      <c r="F833" s="311">
        <v>600</v>
      </c>
      <c r="G833" s="306">
        <f>64+(4)</f>
        <v>68</v>
      </c>
      <c r="H833" s="305"/>
      <c r="I833" s="305"/>
    </row>
    <row r="834" spans="1:9" x14ac:dyDescent="0.2">
      <c r="A834" s="310" t="s">
        <v>1364</v>
      </c>
      <c r="B834" s="310" t="s">
        <v>1371</v>
      </c>
      <c r="C834" s="309">
        <v>42430</v>
      </c>
      <c r="D834" s="308" t="s">
        <v>2713</v>
      </c>
      <c r="E834" s="307">
        <v>1</v>
      </c>
      <c r="F834" s="311">
        <v>650</v>
      </c>
      <c r="G834" s="306">
        <f>64+(4)</f>
        <v>68</v>
      </c>
      <c r="H834" s="305"/>
      <c r="I834" s="305"/>
    </row>
    <row r="835" spans="1:9" x14ac:dyDescent="0.2">
      <c r="A835" s="310" t="s">
        <v>1362</v>
      </c>
      <c r="B835" s="310" t="s">
        <v>1365</v>
      </c>
      <c r="C835" s="309">
        <v>42058</v>
      </c>
      <c r="D835" s="308" t="s">
        <v>1623</v>
      </c>
      <c r="E835" s="307">
        <v>1</v>
      </c>
      <c r="F835" s="311">
        <v>400</v>
      </c>
      <c r="G835" s="303">
        <f t="shared" ref="G835:G843" si="9">80-(12)</f>
        <v>68</v>
      </c>
      <c r="H835" s="305"/>
      <c r="I835" s="305"/>
    </row>
    <row r="836" spans="1:9" x14ac:dyDescent="0.2">
      <c r="A836" s="310" t="s">
        <v>1362</v>
      </c>
      <c r="B836" s="310" t="s">
        <v>1365</v>
      </c>
      <c r="C836" s="309">
        <v>42268</v>
      </c>
      <c r="D836" s="308" t="s">
        <v>1467</v>
      </c>
      <c r="E836" s="307">
        <v>1</v>
      </c>
      <c r="F836" s="311">
        <v>400</v>
      </c>
      <c r="G836" s="303">
        <f t="shared" si="9"/>
        <v>68</v>
      </c>
      <c r="H836" s="305"/>
      <c r="I836" s="305"/>
    </row>
    <row r="837" spans="1:9" x14ac:dyDescent="0.2">
      <c r="A837" s="310" t="s">
        <v>1362</v>
      </c>
      <c r="B837" s="310" t="s">
        <v>1365</v>
      </c>
      <c r="C837" s="309">
        <v>42268</v>
      </c>
      <c r="D837" s="308" t="s">
        <v>1577</v>
      </c>
      <c r="E837" s="307">
        <v>1</v>
      </c>
      <c r="F837" s="311">
        <v>400</v>
      </c>
      <c r="G837" s="303">
        <f t="shared" si="9"/>
        <v>68</v>
      </c>
      <c r="H837" s="305"/>
      <c r="I837" s="305"/>
    </row>
    <row r="838" spans="1:9" x14ac:dyDescent="0.2">
      <c r="A838" s="310" t="s">
        <v>1362</v>
      </c>
      <c r="B838" s="310" t="s">
        <v>1365</v>
      </c>
      <c r="C838" s="309">
        <v>42592</v>
      </c>
      <c r="D838" s="308" t="s">
        <v>2803</v>
      </c>
      <c r="E838" s="307">
        <v>1</v>
      </c>
      <c r="F838" s="311">
        <v>400</v>
      </c>
      <c r="G838" s="303">
        <f t="shared" si="9"/>
        <v>68</v>
      </c>
      <c r="H838" s="305"/>
      <c r="I838" s="305"/>
    </row>
    <row r="839" spans="1:9" x14ac:dyDescent="0.2">
      <c r="A839" s="310" t="s">
        <v>1362</v>
      </c>
      <c r="B839" s="310" t="s">
        <v>1365</v>
      </c>
      <c r="C839" s="309">
        <v>42592</v>
      </c>
      <c r="D839" s="308" t="s">
        <v>2827</v>
      </c>
      <c r="E839" s="307">
        <v>1</v>
      </c>
      <c r="F839" s="311">
        <v>400</v>
      </c>
      <c r="G839" s="303">
        <f t="shared" si="9"/>
        <v>68</v>
      </c>
      <c r="H839" s="305"/>
      <c r="I839" s="305"/>
    </row>
    <row r="840" spans="1:9" x14ac:dyDescent="0.2">
      <c r="A840" s="310" t="s">
        <v>1362</v>
      </c>
      <c r="B840" s="310" t="s">
        <v>1365</v>
      </c>
      <c r="C840" s="309">
        <v>42654</v>
      </c>
      <c r="D840" s="308" t="s">
        <v>2215</v>
      </c>
      <c r="E840" s="307">
        <v>1</v>
      </c>
      <c r="F840" s="311">
        <v>400</v>
      </c>
      <c r="G840" s="303">
        <f t="shared" si="9"/>
        <v>68</v>
      </c>
      <c r="H840" s="305"/>
      <c r="I840" s="305"/>
    </row>
    <row r="841" spans="1:9" x14ac:dyDescent="0.2">
      <c r="A841" s="310" t="s">
        <v>1362</v>
      </c>
      <c r="B841" s="310" t="s">
        <v>1365</v>
      </c>
      <c r="C841" s="309">
        <v>42654</v>
      </c>
      <c r="D841" s="308" t="s">
        <v>2895</v>
      </c>
      <c r="E841" s="307">
        <v>1</v>
      </c>
      <c r="F841" s="311">
        <v>400</v>
      </c>
      <c r="G841" s="303">
        <f t="shared" si="9"/>
        <v>68</v>
      </c>
      <c r="H841" s="305"/>
      <c r="I841" s="305"/>
    </row>
    <row r="842" spans="1:9" x14ac:dyDescent="0.2">
      <c r="A842" s="310" t="s">
        <v>1362</v>
      </c>
      <c r="B842" s="310" t="s">
        <v>1365</v>
      </c>
      <c r="C842" s="309">
        <v>42654</v>
      </c>
      <c r="D842" s="308" t="s">
        <v>2858</v>
      </c>
      <c r="E842" s="307">
        <v>1</v>
      </c>
      <c r="F842" s="311">
        <v>400</v>
      </c>
      <c r="G842" s="303">
        <f t="shared" si="9"/>
        <v>68</v>
      </c>
      <c r="H842" s="305"/>
      <c r="I842" s="305"/>
    </row>
    <row r="843" spans="1:9" x14ac:dyDescent="0.2">
      <c r="A843" s="310" t="s">
        <v>1362</v>
      </c>
      <c r="B843" s="310" t="s">
        <v>1365</v>
      </c>
      <c r="C843" s="309">
        <v>42654</v>
      </c>
      <c r="D843" s="308" t="s">
        <v>2870</v>
      </c>
      <c r="E843" s="307">
        <v>1</v>
      </c>
      <c r="F843" s="311">
        <v>400</v>
      </c>
      <c r="G843" s="303">
        <f t="shared" si="9"/>
        <v>68</v>
      </c>
      <c r="H843" s="305"/>
      <c r="I843" s="305"/>
    </row>
    <row r="844" spans="1:9" x14ac:dyDescent="0.2">
      <c r="A844" s="310" t="s">
        <v>1360</v>
      </c>
      <c r="B844" s="310" t="s">
        <v>1371</v>
      </c>
      <c r="C844" s="309">
        <v>42022</v>
      </c>
      <c r="D844" s="308" t="s">
        <v>1564</v>
      </c>
      <c r="E844" s="307">
        <v>1</v>
      </c>
      <c r="F844" s="311">
        <v>250</v>
      </c>
      <c r="G844" s="306">
        <f>64+(4)</f>
        <v>68</v>
      </c>
      <c r="H844" s="305"/>
      <c r="I844" s="305"/>
    </row>
    <row r="845" spans="1:9" x14ac:dyDescent="0.2">
      <c r="A845" s="310" t="s">
        <v>1359</v>
      </c>
      <c r="B845" s="310" t="s">
        <v>1363</v>
      </c>
      <c r="C845" s="309">
        <v>42064</v>
      </c>
      <c r="D845" s="308" t="s">
        <v>1539</v>
      </c>
      <c r="E845" s="307">
        <v>1</v>
      </c>
      <c r="F845" s="311">
        <v>400</v>
      </c>
      <c r="G845" s="307">
        <v>68</v>
      </c>
      <c r="H845" s="305"/>
      <c r="I845" s="305"/>
    </row>
    <row r="846" spans="1:9" x14ac:dyDescent="0.2">
      <c r="A846" s="310" t="s">
        <v>1359</v>
      </c>
      <c r="B846" s="310" t="s">
        <v>1363</v>
      </c>
      <c r="C846" s="309">
        <v>42064</v>
      </c>
      <c r="D846" s="308" t="s">
        <v>1535</v>
      </c>
      <c r="E846" s="307">
        <v>1</v>
      </c>
      <c r="F846" s="311">
        <v>400</v>
      </c>
      <c r="G846" s="307">
        <v>68</v>
      </c>
      <c r="H846" s="305"/>
      <c r="I846" s="305"/>
    </row>
    <row r="847" spans="1:9" x14ac:dyDescent="0.2">
      <c r="A847" s="310" t="s">
        <v>1359</v>
      </c>
      <c r="B847" s="310" t="s">
        <v>1363</v>
      </c>
      <c r="C847" s="309">
        <v>42064</v>
      </c>
      <c r="D847" s="308" t="s">
        <v>1507</v>
      </c>
      <c r="E847" s="307">
        <v>1</v>
      </c>
      <c r="F847" s="311">
        <v>400</v>
      </c>
      <c r="G847" s="307">
        <v>68</v>
      </c>
      <c r="H847" s="305"/>
      <c r="I847" s="305"/>
    </row>
    <row r="848" spans="1:9" x14ac:dyDescent="0.2">
      <c r="A848" s="310" t="s">
        <v>1359</v>
      </c>
      <c r="B848" s="310" t="s">
        <v>1363</v>
      </c>
      <c r="C848" s="309">
        <v>42064</v>
      </c>
      <c r="D848" s="308" t="s">
        <v>1492</v>
      </c>
      <c r="E848" s="307">
        <v>1</v>
      </c>
      <c r="F848" s="311">
        <v>400</v>
      </c>
      <c r="G848" s="307">
        <v>68</v>
      </c>
      <c r="H848" s="305"/>
      <c r="I848" s="305"/>
    </row>
    <row r="849" spans="1:9" x14ac:dyDescent="0.2">
      <c r="A849" s="310" t="s">
        <v>1359</v>
      </c>
      <c r="B849" s="310" t="s">
        <v>1363</v>
      </c>
      <c r="C849" s="309">
        <v>42424</v>
      </c>
      <c r="D849" s="308" t="s">
        <v>2936</v>
      </c>
      <c r="E849" s="307">
        <v>1</v>
      </c>
      <c r="F849" s="311">
        <v>400</v>
      </c>
      <c r="G849" s="307">
        <v>68</v>
      </c>
      <c r="H849" s="305"/>
      <c r="I849" s="305"/>
    </row>
    <row r="850" spans="1:9" x14ac:dyDescent="0.2">
      <c r="A850" s="310" t="s">
        <v>1359</v>
      </c>
      <c r="B850" s="310" t="s">
        <v>1363</v>
      </c>
      <c r="C850" s="309">
        <v>42424</v>
      </c>
      <c r="D850" s="308" t="s">
        <v>2973</v>
      </c>
      <c r="E850" s="307">
        <v>1</v>
      </c>
      <c r="F850" s="311">
        <v>400</v>
      </c>
      <c r="G850" s="307">
        <v>68</v>
      </c>
      <c r="H850" s="305"/>
      <c r="I850" s="305"/>
    </row>
    <row r="851" spans="1:9" x14ac:dyDescent="0.2">
      <c r="A851" s="310" t="s">
        <v>1359</v>
      </c>
      <c r="B851" s="310" t="s">
        <v>1363</v>
      </c>
      <c r="C851" s="309">
        <v>42623</v>
      </c>
      <c r="D851" s="308" t="s">
        <v>2997</v>
      </c>
      <c r="E851" s="307">
        <v>1</v>
      </c>
      <c r="F851" s="311">
        <v>400</v>
      </c>
      <c r="G851" s="307">
        <v>68</v>
      </c>
      <c r="H851" s="305"/>
      <c r="I851" s="305"/>
    </row>
    <row r="852" spans="1:9" x14ac:dyDescent="0.2">
      <c r="A852" s="310" t="s">
        <v>1358</v>
      </c>
      <c r="B852" s="310" t="s">
        <v>1375</v>
      </c>
      <c r="C852" s="309">
        <v>42037</v>
      </c>
      <c r="D852" s="308" t="s">
        <v>1451</v>
      </c>
      <c r="E852" s="307">
        <v>1</v>
      </c>
      <c r="F852" s="311">
        <v>300</v>
      </c>
      <c r="G852" s="307">
        <v>68</v>
      </c>
      <c r="H852" s="305"/>
      <c r="I852" s="305"/>
    </row>
    <row r="853" spans="1:9" x14ac:dyDescent="0.2">
      <c r="A853" s="310" t="s">
        <v>1358</v>
      </c>
      <c r="B853" s="310" t="s">
        <v>1375</v>
      </c>
      <c r="C853" s="309">
        <v>42289</v>
      </c>
      <c r="D853" s="308" t="s">
        <v>1418</v>
      </c>
      <c r="E853" s="307">
        <v>1</v>
      </c>
      <c r="F853" s="311">
        <v>300</v>
      </c>
      <c r="G853" s="307">
        <v>68</v>
      </c>
      <c r="H853" s="305"/>
      <c r="I853" s="305"/>
    </row>
    <row r="854" spans="1:9" x14ac:dyDescent="0.2">
      <c r="A854" s="310" t="s">
        <v>1358</v>
      </c>
      <c r="B854" s="310" t="s">
        <v>1375</v>
      </c>
      <c r="C854" s="309">
        <v>42289</v>
      </c>
      <c r="D854" s="308" t="s">
        <v>1402</v>
      </c>
      <c r="E854" s="307">
        <v>1</v>
      </c>
      <c r="F854" s="311">
        <v>300</v>
      </c>
      <c r="G854" s="307">
        <v>68</v>
      </c>
      <c r="H854" s="305"/>
      <c r="I854" s="305"/>
    </row>
    <row r="855" spans="1:9" x14ac:dyDescent="0.2">
      <c r="A855" s="310" t="s">
        <v>1358</v>
      </c>
      <c r="B855" s="310" t="s">
        <v>1375</v>
      </c>
      <c r="C855" s="309">
        <v>42289</v>
      </c>
      <c r="D855" s="308" t="s">
        <v>1394</v>
      </c>
      <c r="E855" s="307">
        <v>1</v>
      </c>
      <c r="F855" s="311">
        <v>300</v>
      </c>
      <c r="G855" s="307">
        <v>68</v>
      </c>
      <c r="H855" s="305"/>
      <c r="I855" s="305"/>
    </row>
    <row r="856" spans="1:9" x14ac:dyDescent="0.2">
      <c r="A856" s="310" t="s">
        <v>1358</v>
      </c>
      <c r="B856" s="310" t="s">
        <v>1375</v>
      </c>
      <c r="C856" s="309">
        <v>42460</v>
      </c>
      <c r="D856" s="308" t="s">
        <v>2688</v>
      </c>
      <c r="E856" s="307">
        <v>1</v>
      </c>
      <c r="F856" s="311">
        <v>320</v>
      </c>
      <c r="G856" s="307">
        <v>68</v>
      </c>
      <c r="H856" s="305"/>
      <c r="I856" s="305"/>
    </row>
    <row r="857" spans="1:9" x14ac:dyDescent="0.2">
      <c r="A857" s="310" t="s">
        <v>1319</v>
      </c>
      <c r="B857" s="310" t="s">
        <v>1373</v>
      </c>
      <c r="C857" s="309">
        <v>42415</v>
      </c>
      <c r="D857" s="308" t="s">
        <v>2072</v>
      </c>
      <c r="E857" s="307">
        <v>1</v>
      </c>
      <c r="F857" s="311">
        <v>120</v>
      </c>
      <c r="G857" s="306">
        <f>76-(7)</f>
        <v>69</v>
      </c>
      <c r="H857" s="305"/>
      <c r="I857" s="305"/>
    </row>
    <row r="858" spans="1:9" x14ac:dyDescent="0.2">
      <c r="A858" s="310" t="s">
        <v>1319</v>
      </c>
      <c r="B858" s="310" t="s">
        <v>1371</v>
      </c>
      <c r="C858" s="309">
        <v>42476</v>
      </c>
      <c r="D858" s="308" t="s">
        <v>2121</v>
      </c>
      <c r="E858" s="307">
        <v>1</v>
      </c>
      <c r="F858" s="311">
        <v>120</v>
      </c>
      <c r="G858" s="306">
        <f>65+(4)</f>
        <v>69</v>
      </c>
      <c r="H858" s="305"/>
      <c r="I858" s="305"/>
    </row>
    <row r="859" spans="1:9" x14ac:dyDescent="0.2">
      <c r="A859" s="310" t="s">
        <v>1313</v>
      </c>
      <c r="B859" s="310" t="s">
        <v>1373</v>
      </c>
      <c r="C859" s="309">
        <v>42105</v>
      </c>
      <c r="D859" s="308" t="s">
        <v>1864</v>
      </c>
      <c r="E859" s="307">
        <v>1</v>
      </c>
      <c r="F859" s="311">
        <v>200</v>
      </c>
      <c r="G859" s="306">
        <f>76-(7)</f>
        <v>69</v>
      </c>
      <c r="H859" s="305"/>
      <c r="I859" s="305"/>
    </row>
    <row r="860" spans="1:9" x14ac:dyDescent="0.2">
      <c r="A860" s="310" t="s">
        <v>1374</v>
      </c>
      <c r="B860" s="310" t="s">
        <v>1369</v>
      </c>
      <c r="C860" s="309">
        <v>42227</v>
      </c>
      <c r="D860" s="308" t="s">
        <v>1965</v>
      </c>
      <c r="E860" s="307">
        <v>1</v>
      </c>
      <c r="F860" s="311">
        <v>300</v>
      </c>
      <c r="G860" s="307">
        <v>69</v>
      </c>
      <c r="H860" s="305"/>
      <c r="I860" s="305"/>
    </row>
    <row r="861" spans="1:9" x14ac:dyDescent="0.2">
      <c r="A861" s="310" t="s">
        <v>1374</v>
      </c>
      <c r="B861" s="310" t="s">
        <v>1369</v>
      </c>
      <c r="C861" s="309">
        <v>42227</v>
      </c>
      <c r="D861" s="308" t="s">
        <v>1850</v>
      </c>
      <c r="E861" s="307">
        <v>1</v>
      </c>
      <c r="F861" s="311">
        <v>300</v>
      </c>
      <c r="G861" s="307">
        <v>69</v>
      </c>
      <c r="H861" s="305"/>
      <c r="I861" s="305"/>
    </row>
    <row r="862" spans="1:9" x14ac:dyDescent="0.2">
      <c r="A862" s="310" t="s">
        <v>1374</v>
      </c>
      <c r="B862" s="310" t="s">
        <v>1369</v>
      </c>
      <c r="C862" s="309">
        <v>42227</v>
      </c>
      <c r="D862" s="308" t="s">
        <v>1959</v>
      </c>
      <c r="E862" s="307">
        <v>1</v>
      </c>
      <c r="F862" s="311">
        <v>300</v>
      </c>
      <c r="G862" s="307">
        <v>69</v>
      </c>
      <c r="H862" s="305"/>
      <c r="I862" s="305"/>
    </row>
    <row r="863" spans="1:9" x14ac:dyDescent="0.2">
      <c r="A863" s="310" t="s">
        <v>1372</v>
      </c>
      <c r="B863" s="310" t="s">
        <v>1363</v>
      </c>
      <c r="C863" s="309">
        <v>42271</v>
      </c>
      <c r="D863" s="308" t="s">
        <v>1944</v>
      </c>
      <c r="E863" s="307">
        <v>1</v>
      </c>
      <c r="F863" s="311">
        <v>300</v>
      </c>
      <c r="G863" s="307">
        <v>69</v>
      </c>
      <c r="H863" s="305"/>
      <c r="I863" s="305"/>
    </row>
    <row r="864" spans="1:9" x14ac:dyDescent="0.2">
      <c r="A864" s="310" t="s">
        <v>1372</v>
      </c>
      <c r="B864" s="310" t="s">
        <v>1363</v>
      </c>
      <c r="C864" s="309">
        <v>42271</v>
      </c>
      <c r="D864" s="308" t="s">
        <v>1938</v>
      </c>
      <c r="E864" s="307">
        <v>1</v>
      </c>
      <c r="F864" s="311">
        <v>300</v>
      </c>
      <c r="G864" s="307">
        <v>69</v>
      </c>
      <c r="H864" s="305"/>
      <c r="I864" s="305"/>
    </row>
    <row r="865" spans="1:9" x14ac:dyDescent="0.2">
      <c r="A865" s="310" t="s">
        <v>1372</v>
      </c>
      <c r="B865" s="310" t="s">
        <v>1363</v>
      </c>
      <c r="C865" s="309">
        <v>42685</v>
      </c>
      <c r="D865" s="308" t="s">
        <v>2315</v>
      </c>
      <c r="E865" s="307">
        <v>1</v>
      </c>
      <c r="F865" s="311">
        <v>310</v>
      </c>
      <c r="G865" s="307">
        <v>69</v>
      </c>
      <c r="H865" s="305"/>
      <c r="I865" s="305"/>
    </row>
    <row r="866" spans="1:9" x14ac:dyDescent="0.2">
      <c r="A866" s="310" t="s">
        <v>1370</v>
      </c>
      <c r="B866" s="310" t="s">
        <v>1361</v>
      </c>
      <c r="C866" s="309">
        <v>42447</v>
      </c>
      <c r="D866" s="308" t="s">
        <v>2370</v>
      </c>
      <c r="E866" s="307">
        <v>1</v>
      </c>
      <c r="F866" s="311">
        <v>500</v>
      </c>
      <c r="G866" s="303">
        <f>74-(5)</f>
        <v>69</v>
      </c>
      <c r="H866" s="305"/>
      <c r="I866" s="305"/>
    </row>
    <row r="867" spans="1:9" x14ac:dyDescent="0.2">
      <c r="A867" s="310" t="s">
        <v>1370</v>
      </c>
      <c r="B867" s="310" t="s">
        <v>1373</v>
      </c>
      <c r="C867" s="309">
        <v>42658</v>
      </c>
      <c r="D867" s="308" t="s">
        <v>2328</v>
      </c>
      <c r="E867" s="307">
        <v>1</v>
      </c>
      <c r="F867" s="311">
        <v>500</v>
      </c>
      <c r="G867" s="306">
        <f>76-(7)</f>
        <v>69</v>
      </c>
      <c r="H867" s="305"/>
      <c r="I867" s="305"/>
    </row>
    <row r="868" spans="1:9" x14ac:dyDescent="0.2">
      <c r="A868" s="310" t="s">
        <v>1368</v>
      </c>
      <c r="B868" s="310" t="s">
        <v>1367</v>
      </c>
      <c r="C868" s="309">
        <v>42068</v>
      </c>
      <c r="D868" s="308" t="s">
        <v>1644</v>
      </c>
      <c r="E868" s="307">
        <v>1</v>
      </c>
      <c r="F868" s="311">
        <v>200</v>
      </c>
      <c r="G868" s="306">
        <v>69</v>
      </c>
      <c r="H868" s="305"/>
      <c r="I868" s="305"/>
    </row>
    <row r="869" spans="1:9" x14ac:dyDescent="0.2">
      <c r="A869" s="310" t="s">
        <v>1368</v>
      </c>
      <c r="B869" s="310" t="s">
        <v>1367</v>
      </c>
      <c r="C869" s="309">
        <v>42068</v>
      </c>
      <c r="D869" s="308" t="s">
        <v>1828</v>
      </c>
      <c r="E869" s="307">
        <v>1</v>
      </c>
      <c r="F869" s="311">
        <v>200</v>
      </c>
      <c r="G869" s="306">
        <v>69</v>
      </c>
      <c r="H869" s="305"/>
      <c r="I869" s="305"/>
    </row>
    <row r="870" spans="1:9" x14ac:dyDescent="0.2">
      <c r="A870" s="310" t="s">
        <v>1368</v>
      </c>
      <c r="B870" s="310" t="s">
        <v>1367</v>
      </c>
      <c r="C870" s="309">
        <v>42068</v>
      </c>
      <c r="D870" s="308" t="s">
        <v>1426</v>
      </c>
      <c r="E870" s="307">
        <v>1</v>
      </c>
      <c r="F870" s="311">
        <v>200</v>
      </c>
      <c r="G870" s="306">
        <v>69</v>
      </c>
      <c r="H870" s="305"/>
      <c r="I870" s="305"/>
    </row>
    <row r="871" spans="1:9" x14ac:dyDescent="0.2">
      <c r="A871" s="310" t="s">
        <v>1368</v>
      </c>
      <c r="B871" s="310" t="s">
        <v>1367</v>
      </c>
      <c r="C871" s="309">
        <v>42170</v>
      </c>
      <c r="D871" s="308" t="s">
        <v>1779</v>
      </c>
      <c r="E871" s="307">
        <v>1</v>
      </c>
      <c r="F871" s="311">
        <v>200</v>
      </c>
      <c r="G871" s="306">
        <v>69</v>
      </c>
      <c r="H871" s="305"/>
      <c r="I871" s="305"/>
    </row>
    <row r="872" spans="1:9" x14ac:dyDescent="0.2">
      <c r="A872" s="310" t="s">
        <v>1368</v>
      </c>
      <c r="B872" s="310" t="s">
        <v>1371</v>
      </c>
      <c r="C872" s="309">
        <v>42323</v>
      </c>
      <c r="D872" s="308" t="s">
        <v>1896</v>
      </c>
      <c r="E872" s="307">
        <v>1</v>
      </c>
      <c r="F872" s="311">
        <v>200</v>
      </c>
      <c r="G872" s="306">
        <f>65+(4)</f>
        <v>69</v>
      </c>
      <c r="H872" s="305"/>
      <c r="I872" s="305"/>
    </row>
    <row r="873" spans="1:9" x14ac:dyDescent="0.2">
      <c r="A873" s="310" t="s">
        <v>1368</v>
      </c>
      <c r="B873" s="310" t="s">
        <v>1371</v>
      </c>
      <c r="C873" s="309">
        <v>42340</v>
      </c>
      <c r="D873" s="308" t="s">
        <v>1847</v>
      </c>
      <c r="E873" s="307">
        <v>1</v>
      </c>
      <c r="F873" s="311">
        <v>200</v>
      </c>
      <c r="G873" s="306">
        <f>65+(4)</f>
        <v>69</v>
      </c>
      <c r="H873" s="305"/>
      <c r="I873" s="305"/>
    </row>
    <row r="874" spans="1:9" x14ac:dyDescent="0.2">
      <c r="A874" s="310" t="s">
        <v>1368</v>
      </c>
      <c r="B874" s="310" t="s">
        <v>1371</v>
      </c>
      <c r="C874" s="309">
        <v>42412</v>
      </c>
      <c r="D874" s="308" t="s">
        <v>2451</v>
      </c>
      <c r="E874" s="307">
        <v>1</v>
      </c>
      <c r="F874" s="311">
        <v>200</v>
      </c>
      <c r="G874" s="306">
        <f>65+(4)</f>
        <v>69</v>
      </c>
      <c r="H874" s="305"/>
      <c r="I874" s="305"/>
    </row>
    <row r="875" spans="1:9" x14ac:dyDescent="0.2">
      <c r="A875" s="310" t="s">
        <v>1368</v>
      </c>
      <c r="B875" s="310" t="s">
        <v>1371</v>
      </c>
      <c r="C875" s="309">
        <v>42412</v>
      </c>
      <c r="D875" s="308" t="s">
        <v>2417</v>
      </c>
      <c r="E875" s="307">
        <v>1</v>
      </c>
      <c r="F875" s="311">
        <v>200</v>
      </c>
      <c r="G875" s="306">
        <f>65+(4)</f>
        <v>69</v>
      </c>
      <c r="H875" s="305"/>
      <c r="I875" s="305"/>
    </row>
    <row r="876" spans="1:9" x14ac:dyDescent="0.2">
      <c r="A876" s="310" t="s">
        <v>1368</v>
      </c>
      <c r="B876" s="310" t="s">
        <v>1371</v>
      </c>
      <c r="C876" s="309">
        <v>42412</v>
      </c>
      <c r="D876" s="308" t="s">
        <v>2447</v>
      </c>
      <c r="E876" s="307">
        <v>1</v>
      </c>
      <c r="F876" s="311">
        <v>200</v>
      </c>
      <c r="G876" s="306">
        <f>65+(4)</f>
        <v>69</v>
      </c>
      <c r="H876" s="305"/>
      <c r="I876" s="305"/>
    </row>
    <row r="877" spans="1:9" x14ac:dyDescent="0.2">
      <c r="A877" s="310" t="s">
        <v>1368</v>
      </c>
      <c r="B877" s="310" t="s">
        <v>1367</v>
      </c>
      <c r="C877" s="309">
        <v>42505</v>
      </c>
      <c r="D877" s="308" t="s">
        <v>2550</v>
      </c>
      <c r="E877" s="307">
        <v>1</v>
      </c>
      <c r="F877" s="311">
        <v>200</v>
      </c>
      <c r="G877" s="306">
        <v>69</v>
      </c>
      <c r="H877" s="305"/>
      <c r="I877" s="305"/>
    </row>
    <row r="878" spans="1:9" x14ac:dyDescent="0.2">
      <c r="A878" s="310" t="s">
        <v>1368</v>
      </c>
      <c r="B878" s="310" t="s">
        <v>1367</v>
      </c>
      <c r="C878" s="309">
        <v>42593</v>
      </c>
      <c r="D878" s="308" t="s">
        <v>2628</v>
      </c>
      <c r="E878" s="307">
        <v>1</v>
      </c>
      <c r="F878" s="311">
        <v>200</v>
      </c>
      <c r="G878" s="306">
        <v>69</v>
      </c>
      <c r="H878" s="305"/>
      <c r="I878" s="305"/>
    </row>
    <row r="879" spans="1:9" x14ac:dyDescent="0.2">
      <c r="A879" s="310" t="s">
        <v>1366</v>
      </c>
      <c r="B879" s="310" t="s">
        <v>1376</v>
      </c>
      <c r="C879" s="309">
        <v>42259</v>
      </c>
      <c r="D879" s="308" t="s">
        <v>1738</v>
      </c>
      <c r="E879" s="307">
        <v>1</v>
      </c>
      <c r="F879" s="311">
        <v>350</v>
      </c>
      <c r="G879" s="306">
        <v>69</v>
      </c>
      <c r="H879" s="305"/>
      <c r="I879" s="305"/>
    </row>
    <row r="880" spans="1:9" x14ac:dyDescent="0.2">
      <c r="A880" s="310" t="s">
        <v>1364</v>
      </c>
      <c r="B880" s="310" t="s">
        <v>1371</v>
      </c>
      <c r="C880" s="309">
        <v>42157</v>
      </c>
      <c r="D880" s="308" t="s">
        <v>1725</v>
      </c>
      <c r="E880" s="307">
        <v>1</v>
      </c>
      <c r="F880" s="311">
        <v>600</v>
      </c>
      <c r="G880" s="306">
        <f>65+(4)</f>
        <v>69</v>
      </c>
      <c r="H880" s="305"/>
      <c r="I880" s="305"/>
    </row>
    <row r="881" spans="1:9" x14ac:dyDescent="0.2">
      <c r="A881" s="310" t="s">
        <v>1364</v>
      </c>
      <c r="B881" s="310" t="s">
        <v>1371</v>
      </c>
      <c r="C881" s="309">
        <v>42265</v>
      </c>
      <c r="D881" s="308" t="s">
        <v>1706</v>
      </c>
      <c r="E881" s="307">
        <v>1</v>
      </c>
      <c r="F881" s="311">
        <v>600</v>
      </c>
      <c r="G881" s="306">
        <f>65+(4)</f>
        <v>69</v>
      </c>
      <c r="H881" s="305"/>
      <c r="I881" s="305"/>
    </row>
    <row r="882" spans="1:9" x14ac:dyDescent="0.2">
      <c r="A882" s="310" t="s">
        <v>1364</v>
      </c>
      <c r="B882" s="310" t="s">
        <v>1367</v>
      </c>
      <c r="C882" s="309">
        <v>42638</v>
      </c>
      <c r="D882" s="308" t="s">
        <v>2761</v>
      </c>
      <c r="E882" s="307">
        <v>1</v>
      </c>
      <c r="F882" s="311">
        <v>650</v>
      </c>
      <c r="G882" s="306">
        <v>69</v>
      </c>
      <c r="H882" s="305"/>
      <c r="I882" s="305"/>
    </row>
    <row r="883" spans="1:9" x14ac:dyDescent="0.2">
      <c r="A883" s="310" t="s">
        <v>1364</v>
      </c>
      <c r="B883" s="310" t="s">
        <v>1367</v>
      </c>
      <c r="C883" s="309">
        <v>42638</v>
      </c>
      <c r="D883" s="308" t="s">
        <v>2621</v>
      </c>
      <c r="E883" s="307">
        <v>1</v>
      </c>
      <c r="F883" s="311">
        <v>650</v>
      </c>
      <c r="G883" s="306">
        <v>69</v>
      </c>
      <c r="H883" s="305"/>
      <c r="I883" s="305"/>
    </row>
    <row r="884" spans="1:9" x14ac:dyDescent="0.2">
      <c r="A884" s="310" t="s">
        <v>1362</v>
      </c>
      <c r="B884" s="310" t="s">
        <v>1365</v>
      </c>
      <c r="C884" s="309">
        <v>42127</v>
      </c>
      <c r="D884" s="308" t="s">
        <v>1600</v>
      </c>
      <c r="E884" s="307">
        <v>1</v>
      </c>
      <c r="F884" s="311">
        <v>400</v>
      </c>
      <c r="G884" s="303">
        <f>81-(12)</f>
        <v>69</v>
      </c>
      <c r="H884" s="305"/>
      <c r="I884" s="305"/>
    </row>
    <row r="885" spans="1:9" x14ac:dyDescent="0.2">
      <c r="A885" s="310" t="s">
        <v>1362</v>
      </c>
      <c r="B885" s="310" t="s">
        <v>1365</v>
      </c>
      <c r="C885" s="309">
        <v>42268</v>
      </c>
      <c r="D885" s="308" t="s">
        <v>1570</v>
      </c>
      <c r="E885" s="307">
        <v>1</v>
      </c>
      <c r="F885" s="311">
        <v>400</v>
      </c>
      <c r="G885" s="303">
        <f>81-(12)</f>
        <v>69</v>
      </c>
      <c r="H885" s="305"/>
      <c r="I885" s="305"/>
    </row>
    <row r="886" spans="1:9" x14ac:dyDescent="0.2">
      <c r="A886" s="310" t="s">
        <v>1362</v>
      </c>
      <c r="B886" s="310" t="s">
        <v>1365</v>
      </c>
      <c r="C886" s="309">
        <v>42654</v>
      </c>
      <c r="D886" s="308" t="s">
        <v>2906</v>
      </c>
      <c r="E886" s="307">
        <v>1</v>
      </c>
      <c r="F886" s="311">
        <v>400</v>
      </c>
      <c r="G886" s="303">
        <f>81-(12)</f>
        <v>69</v>
      </c>
      <c r="H886" s="305"/>
      <c r="I886" s="305"/>
    </row>
    <row r="887" spans="1:9" x14ac:dyDescent="0.2">
      <c r="A887" s="310" t="s">
        <v>1359</v>
      </c>
      <c r="B887" s="310" t="s">
        <v>1363</v>
      </c>
      <c r="C887" s="309">
        <v>42064</v>
      </c>
      <c r="D887" s="308" t="s">
        <v>1521</v>
      </c>
      <c r="E887" s="307">
        <v>1</v>
      </c>
      <c r="F887" s="311">
        <v>400</v>
      </c>
      <c r="G887" s="307">
        <v>69</v>
      </c>
      <c r="H887" s="305"/>
      <c r="I887" s="305"/>
    </row>
    <row r="888" spans="1:9" x14ac:dyDescent="0.2">
      <c r="A888" s="310" t="s">
        <v>1359</v>
      </c>
      <c r="B888" s="310" t="s">
        <v>1363</v>
      </c>
      <c r="C888" s="309">
        <v>42064</v>
      </c>
      <c r="D888" s="308" t="s">
        <v>1510</v>
      </c>
      <c r="E888" s="307">
        <v>1</v>
      </c>
      <c r="F888" s="311">
        <v>400</v>
      </c>
      <c r="G888" s="307">
        <v>69</v>
      </c>
      <c r="H888" s="305"/>
      <c r="I888" s="305"/>
    </row>
    <row r="889" spans="1:9" x14ac:dyDescent="0.2">
      <c r="A889" s="310" t="s">
        <v>1359</v>
      </c>
      <c r="B889" s="310" t="s">
        <v>1363</v>
      </c>
      <c r="C889" s="309">
        <v>42424</v>
      </c>
      <c r="D889" s="308" t="s">
        <v>2981</v>
      </c>
      <c r="E889" s="307">
        <v>1</v>
      </c>
      <c r="F889" s="311">
        <v>400</v>
      </c>
      <c r="G889" s="307">
        <v>69</v>
      </c>
      <c r="H889" s="305"/>
      <c r="I889" s="305"/>
    </row>
    <row r="890" spans="1:9" x14ac:dyDescent="0.2">
      <c r="A890" s="310" t="s">
        <v>1359</v>
      </c>
      <c r="B890" s="310" t="s">
        <v>1363</v>
      </c>
      <c r="C890" s="309">
        <v>42424</v>
      </c>
      <c r="D890" s="308" t="s">
        <v>2962</v>
      </c>
      <c r="E890" s="307">
        <v>1</v>
      </c>
      <c r="F890" s="311">
        <v>400</v>
      </c>
      <c r="G890" s="307">
        <v>69</v>
      </c>
      <c r="H890" s="305"/>
      <c r="I890" s="305"/>
    </row>
    <row r="891" spans="1:9" x14ac:dyDescent="0.2">
      <c r="A891" s="310" t="s">
        <v>1359</v>
      </c>
      <c r="B891" s="310" t="s">
        <v>1363</v>
      </c>
      <c r="C891" s="309">
        <v>42424</v>
      </c>
      <c r="D891" s="308" t="s">
        <v>2941</v>
      </c>
      <c r="E891" s="307">
        <v>1</v>
      </c>
      <c r="F891" s="311">
        <v>400</v>
      </c>
      <c r="G891" s="307">
        <v>69</v>
      </c>
      <c r="H891" s="305"/>
      <c r="I891" s="305"/>
    </row>
    <row r="892" spans="1:9" x14ac:dyDescent="0.2">
      <c r="A892" s="310" t="s">
        <v>1359</v>
      </c>
      <c r="B892" s="310" t="s">
        <v>1363</v>
      </c>
      <c r="C892" s="309">
        <v>42424</v>
      </c>
      <c r="D892" s="308" t="s">
        <v>2946</v>
      </c>
      <c r="E892" s="307">
        <v>1</v>
      </c>
      <c r="F892" s="311">
        <v>400</v>
      </c>
      <c r="G892" s="307">
        <v>69</v>
      </c>
      <c r="H892" s="305"/>
      <c r="I892" s="305"/>
    </row>
    <row r="893" spans="1:9" x14ac:dyDescent="0.2">
      <c r="A893" s="310" t="s">
        <v>1358</v>
      </c>
      <c r="B893" s="310" t="s">
        <v>1375</v>
      </c>
      <c r="C893" s="309">
        <v>42037</v>
      </c>
      <c r="D893" s="308" t="s">
        <v>1461</v>
      </c>
      <c r="E893" s="307">
        <v>1</v>
      </c>
      <c r="F893" s="311">
        <v>300</v>
      </c>
      <c r="G893" s="307">
        <v>69</v>
      </c>
      <c r="H893" s="305"/>
      <c r="I893" s="305"/>
    </row>
    <row r="894" spans="1:9" x14ac:dyDescent="0.2">
      <c r="A894" s="310" t="s">
        <v>1358</v>
      </c>
      <c r="B894" s="310" t="s">
        <v>1375</v>
      </c>
      <c r="C894" s="309">
        <v>42037</v>
      </c>
      <c r="D894" s="308" t="s">
        <v>1454</v>
      </c>
      <c r="E894" s="307">
        <v>1</v>
      </c>
      <c r="F894" s="311">
        <v>300</v>
      </c>
      <c r="G894" s="307">
        <v>69</v>
      </c>
      <c r="H894" s="305"/>
      <c r="I894" s="305"/>
    </row>
    <row r="895" spans="1:9" x14ac:dyDescent="0.2">
      <c r="A895" s="310" t="s">
        <v>1358</v>
      </c>
      <c r="B895" s="310" t="s">
        <v>1375</v>
      </c>
      <c r="C895" s="309">
        <v>42460</v>
      </c>
      <c r="D895" s="308" t="s">
        <v>3028</v>
      </c>
      <c r="E895" s="307">
        <v>1</v>
      </c>
      <c r="F895" s="311">
        <v>320</v>
      </c>
      <c r="G895" s="307">
        <v>69</v>
      </c>
      <c r="H895" s="305"/>
      <c r="I895" s="305"/>
    </row>
    <row r="896" spans="1:9" x14ac:dyDescent="0.2">
      <c r="A896" s="310" t="s">
        <v>1319</v>
      </c>
      <c r="B896" s="310" t="s">
        <v>1367</v>
      </c>
      <c r="C896" s="309">
        <v>42332</v>
      </c>
      <c r="D896" s="308" t="s">
        <v>1587</v>
      </c>
      <c r="E896" s="307">
        <v>1</v>
      </c>
      <c r="F896" s="311">
        <v>100</v>
      </c>
      <c r="G896" s="306">
        <v>70</v>
      </c>
      <c r="H896" s="305"/>
      <c r="I896" s="305"/>
    </row>
    <row r="897" spans="1:9" x14ac:dyDescent="0.2">
      <c r="A897" s="310" t="s">
        <v>1319</v>
      </c>
      <c r="B897" s="310" t="s">
        <v>1371</v>
      </c>
      <c r="C897" s="309">
        <v>42476</v>
      </c>
      <c r="D897" s="308" t="s">
        <v>2146</v>
      </c>
      <c r="E897" s="307">
        <v>1</v>
      </c>
      <c r="F897" s="311">
        <v>120</v>
      </c>
      <c r="G897" s="306">
        <f>66+(4)</f>
        <v>70</v>
      </c>
      <c r="H897" s="305"/>
      <c r="I897" s="305"/>
    </row>
    <row r="898" spans="1:9" x14ac:dyDescent="0.2">
      <c r="A898" s="310" t="s">
        <v>1319</v>
      </c>
      <c r="B898" s="310" t="s">
        <v>1371</v>
      </c>
      <c r="C898" s="309">
        <v>42476</v>
      </c>
      <c r="D898" s="308" t="s">
        <v>2145</v>
      </c>
      <c r="E898" s="307">
        <v>1</v>
      </c>
      <c r="F898" s="311">
        <v>120</v>
      </c>
      <c r="G898" s="306">
        <f>66+(4)</f>
        <v>70</v>
      </c>
      <c r="H898" s="305"/>
      <c r="I898" s="305"/>
    </row>
    <row r="899" spans="1:9" x14ac:dyDescent="0.2">
      <c r="A899" s="310" t="s">
        <v>1313</v>
      </c>
      <c r="B899" s="310" t="s">
        <v>1373</v>
      </c>
      <c r="C899" s="309">
        <v>42105</v>
      </c>
      <c r="D899" s="308" t="s">
        <v>1526</v>
      </c>
      <c r="E899" s="307">
        <v>1</v>
      </c>
      <c r="F899" s="311">
        <v>200</v>
      </c>
      <c r="G899" s="306">
        <f>77-(7)</f>
        <v>70</v>
      </c>
      <c r="H899" s="305"/>
      <c r="I899" s="305"/>
    </row>
    <row r="900" spans="1:9" x14ac:dyDescent="0.2">
      <c r="A900" s="310" t="s">
        <v>1313</v>
      </c>
      <c r="B900" s="310" t="s">
        <v>1361</v>
      </c>
      <c r="C900" s="309">
        <v>42636</v>
      </c>
      <c r="D900" s="308" t="s">
        <v>2204</v>
      </c>
      <c r="E900" s="307">
        <v>1</v>
      </c>
      <c r="F900" s="311">
        <v>210</v>
      </c>
      <c r="G900" s="303">
        <f>75-(5)</f>
        <v>70</v>
      </c>
      <c r="H900" s="305"/>
      <c r="I900" s="305"/>
    </row>
    <row r="901" spans="1:9" x14ac:dyDescent="0.2">
      <c r="A901" s="310" t="s">
        <v>1313</v>
      </c>
      <c r="B901" s="310" t="s">
        <v>1361</v>
      </c>
      <c r="C901" s="309">
        <v>42636</v>
      </c>
      <c r="D901" s="308" t="s">
        <v>2215</v>
      </c>
      <c r="E901" s="307">
        <v>1</v>
      </c>
      <c r="F901" s="311">
        <v>210</v>
      </c>
      <c r="G901" s="303">
        <f>75-(5)</f>
        <v>70</v>
      </c>
      <c r="H901" s="305"/>
      <c r="I901" s="305"/>
    </row>
    <row r="902" spans="1:9" x14ac:dyDescent="0.2">
      <c r="A902" s="310" t="s">
        <v>1372</v>
      </c>
      <c r="B902" s="310" t="s">
        <v>1365</v>
      </c>
      <c r="C902" s="309">
        <v>42056</v>
      </c>
      <c r="D902" s="308" t="s">
        <v>1956</v>
      </c>
      <c r="E902" s="307">
        <v>1</v>
      </c>
      <c r="F902" s="311">
        <v>300</v>
      </c>
      <c r="G902" s="303">
        <f>82-(12)</f>
        <v>70</v>
      </c>
      <c r="H902" s="305"/>
      <c r="I902" s="305"/>
    </row>
    <row r="903" spans="1:9" x14ac:dyDescent="0.2">
      <c r="A903" s="310" t="s">
        <v>1372</v>
      </c>
      <c r="B903" s="310" t="s">
        <v>1365</v>
      </c>
      <c r="C903" s="309">
        <v>42056</v>
      </c>
      <c r="D903" s="308" t="s">
        <v>1639</v>
      </c>
      <c r="E903" s="307">
        <v>1</v>
      </c>
      <c r="F903" s="311">
        <v>300</v>
      </c>
      <c r="G903" s="303">
        <f>82-(12)</f>
        <v>70</v>
      </c>
      <c r="H903" s="305"/>
      <c r="I903" s="305"/>
    </row>
    <row r="904" spans="1:9" x14ac:dyDescent="0.2">
      <c r="A904" s="310" t="s">
        <v>1372</v>
      </c>
      <c r="B904" s="310" t="s">
        <v>1363</v>
      </c>
      <c r="C904" s="309">
        <v>42271</v>
      </c>
      <c r="D904" s="308" t="s">
        <v>1946</v>
      </c>
      <c r="E904" s="307">
        <v>1</v>
      </c>
      <c r="F904" s="311">
        <v>300</v>
      </c>
      <c r="G904" s="307">
        <v>70</v>
      </c>
      <c r="H904" s="305"/>
      <c r="I904" s="305"/>
    </row>
    <row r="905" spans="1:9" x14ac:dyDescent="0.2">
      <c r="A905" s="310" t="s">
        <v>1372</v>
      </c>
      <c r="B905" s="310" t="s">
        <v>1363</v>
      </c>
      <c r="C905" s="309">
        <v>42685</v>
      </c>
      <c r="D905" s="308" t="s">
        <v>2280</v>
      </c>
      <c r="E905" s="307">
        <v>1</v>
      </c>
      <c r="F905" s="311">
        <v>310</v>
      </c>
      <c r="G905" s="307">
        <v>70</v>
      </c>
      <c r="H905" s="305"/>
      <c r="I905" s="305"/>
    </row>
    <row r="906" spans="1:9" x14ac:dyDescent="0.2">
      <c r="A906" s="310" t="s">
        <v>1372</v>
      </c>
      <c r="B906" s="310" t="s">
        <v>1363</v>
      </c>
      <c r="C906" s="309">
        <v>42685</v>
      </c>
      <c r="D906" s="308" t="s">
        <v>2301</v>
      </c>
      <c r="E906" s="307">
        <v>1</v>
      </c>
      <c r="F906" s="311">
        <v>310</v>
      </c>
      <c r="G906" s="307">
        <v>70</v>
      </c>
      <c r="H906" s="305"/>
      <c r="I906" s="305"/>
    </row>
    <row r="907" spans="1:9" x14ac:dyDescent="0.2">
      <c r="A907" s="310" t="s">
        <v>1370</v>
      </c>
      <c r="B907" s="310" t="s">
        <v>1361</v>
      </c>
      <c r="C907" s="309">
        <v>42036</v>
      </c>
      <c r="D907" s="308" t="s">
        <v>1392</v>
      </c>
      <c r="E907" s="307">
        <v>1</v>
      </c>
      <c r="F907" s="311">
        <v>500</v>
      </c>
      <c r="G907" s="303">
        <f>75-(5)</f>
        <v>70</v>
      </c>
      <c r="H907" s="305"/>
      <c r="I907" s="305"/>
    </row>
    <row r="908" spans="1:9" x14ac:dyDescent="0.2">
      <c r="A908" s="310" t="s">
        <v>1370</v>
      </c>
      <c r="B908" s="310" t="s">
        <v>1373</v>
      </c>
      <c r="C908" s="309">
        <v>42288</v>
      </c>
      <c r="D908" s="308" t="s">
        <v>1927</v>
      </c>
      <c r="E908" s="307">
        <v>1</v>
      </c>
      <c r="F908" s="311">
        <v>500</v>
      </c>
      <c r="G908" s="306">
        <f>77-(7)</f>
        <v>70</v>
      </c>
      <c r="H908" s="305"/>
      <c r="I908" s="305"/>
    </row>
    <row r="909" spans="1:9" x14ac:dyDescent="0.2">
      <c r="A909" s="310" t="s">
        <v>1370</v>
      </c>
      <c r="B909" s="310" t="s">
        <v>1373</v>
      </c>
      <c r="C909" s="309">
        <v>42658</v>
      </c>
      <c r="D909" s="308" t="s">
        <v>2357</v>
      </c>
      <c r="E909" s="307">
        <v>1</v>
      </c>
      <c r="F909" s="311">
        <v>500</v>
      </c>
      <c r="G909" s="306">
        <f>77-(7)</f>
        <v>70</v>
      </c>
      <c r="H909" s="305"/>
      <c r="I909" s="305"/>
    </row>
    <row r="910" spans="1:9" x14ac:dyDescent="0.2">
      <c r="A910" s="310" t="s">
        <v>1370</v>
      </c>
      <c r="B910" s="310" t="s">
        <v>1373</v>
      </c>
      <c r="C910" s="309">
        <v>42658</v>
      </c>
      <c r="D910" s="308" t="s">
        <v>2360</v>
      </c>
      <c r="E910" s="307">
        <v>1</v>
      </c>
      <c r="F910" s="311">
        <v>500</v>
      </c>
      <c r="G910" s="306">
        <f>77-(7)</f>
        <v>70</v>
      </c>
      <c r="H910" s="305"/>
      <c r="I910" s="305"/>
    </row>
    <row r="911" spans="1:9" x14ac:dyDescent="0.2">
      <c r="A911" s="310" t="s">
        <v>1370</v>
      </c>
      <c r="B911" s="310" t="s">
        <v>1373</v>
      </c>
      <c r="C911" s="309">
        <v>42658</v>
      </c>
      <c r="D911" s="308" t="s">
        <v>2365</v>
      </c>
      <c r="E911" s="307">
        <v>1</v>
      </c>
      <c r="F911" s="311">
        <v>500</v>
      </c>
      <c r="G911" s="306">
        <f>77-(7)</f>
        <v>70</v>
      </c>
      <c r="H911" s="305"/>
      <c r="I911" s="305"/>
    </row>
    <row r="912" spans="1:9" x14ac:dyDescent="0.2">
      <c r="A912" s="310" t="s">
        <v>1370</v>
      </c>
      <c r="B912" s="310" t="s">
        <v>1373</v>
      </c>
      <c r="C912" s="309">
        <v>42658</v>
      </c>
      <c r="D912" s="308" t="s">
        <v>2367</v>
      </c>
      <c r="E912" s="307">
        <v>1</v>
      </c>
      <c r="F912" s="311">
        <v>500</v>
      </c>
      <c r="G912" s="306">
        <f>77-(7)</f>
        <v>70</v>
      </c>
      <c r="H912" s="305"/>
      <c r="I912" s="305"/>
    </row>
    <row r="913" spans="1:9" x14ac:dyDescent="0.2">
      <c r="A913" s="310" t="s">
        <v>1368</v>
      </c>
      <c r="B913" s="310" t="s">
        <v>1367</v>
      </c>
      <c r="C913" s="309">
        <v>42170</v>
      </c>
      <c r="D913" s="308" t="s">
        <v>1789</v>
      </c>
      <c r="E913" s="307">
        <v>1</v>
      </c>
      <c r="F913" s="311">
        <v>200</v>
      </c>
      <c r="G913" s="306">
        <v>70</v>
      </c>
      <c r="H913" s="305"/>
      <c r="I913" s="305"/>
    </row>
    <row r="914" spans="1:9" x14ac:dyDescent="0.2">
      <c r="A914" s="310" t="s">
        <v>1368</v>
      </c>
      <c r="B914" s="310" t="s">
        <v>1371</v>
      </c>
      <c r="C914" s="309">
        <v>42323</v>
      </c>
      <c r="D914" s="308" t="s">
        <v>1394</v>
      </c>
      <c r="E914" s="307">
        <v>1</v>
      </c>
      <c r="F914" s="311">
        <v>200</v>
      </c>
      <c r="G914" s="306">
        <f>66+(4)</f>
        <v>70</v>
      </c>
      <c r="H914" s="305"/>
      <c r="I914" s="305"/>
    </row>
    <row r="915" spans="1:9" x14ac:dyDescent="0.2">
      <c r="A915" s="310" t="s">
        <v>1368</v>
      </c>
      <c r="B915" s="310" t="s">
        <v>1371</v>
      </c>
      <c r="C915" s="309">
        <v>42340</v>
      </c>
      <c r="D915" s="308" t="s">
        <v>1859</v>
      </c>
      <c r="E915" s="307">
        <v>1</v>
      </c>
      <c r="F915" s="311">
        <v>200</v>
      </c>
      <c r="G915" s="306">
        <f>66+(4)</f>
        <v>70</v>
      </c>
      <c r="H915" s="305"/>
      <c r="I915" s="305"/>
    </row>
    <row r="916" spans="1:9" x14ac:dyDescent="0.2">
      <c r="A916" s="310" t="s">
        <v>1368</v>
      </c>
      <c r="B916" s="310" t="s">
        <v>1367</v>
      </c>
      <c r="C916" s="309">
        <v>42505</v>
      </c>
      <c r="D916" s="308" t="s">
        <v>2545</v>
      </c>
      <c r="E916" s="307">
        <v>1</v>
      </c>
      <c r="F916" s="311">
        <v>200</v>
      </c>
      <c r="G916" s="306">
        <v>70</v>
      </c>
      <c r="H916" s="305"/>
      <c r="I916" s="305"/>
    </row>
    <row r="917" spans="1:9" x14ac:dyDescent="0.2">
      <c r="A917" s="310" t="s">
        <v>1368</v>
      </c>
      <c r="B917" s="310" t="s">
        <v>1367</v>
      </c>
      <c r="C917" s="309">
        <v>42614</v>
      </c>
      <c r="D917" s="308" t="s">
        <v>2639</v>
      </c>
      <c r="E917" s="307">
        <v>1</v>
      </c>
      <c r="F917" s="311">
        <v>200</v>
      </c>
      <c r="G917" s="306">
        <v>70</v>
      </c>
      <c r="H917" s="305"/>
      <c r="I917" s="305"/>
    </row>
    <row r="918" spans="1:9" x14ac:dyDescent="0.2">
      <c r="A918" s="310" t="s">
        <v>1366</v>
      </c>
      <c r="B918" s="310" t="s">
        <v>1376</v>
      </c>
      <c r="C918" s="309">
        <v>42053</v>
      </c>
      <c r="D918" s="308" t="s">
        <v>1749</v>
      </c>
      <c r="E918" s="307">
        <v>1</v>
      </c>
      <c r="F918" s="311">
        <v>350</v>
      </c>
      <c r="G918" s="306">
        <v>70</v>
      </c>
      <c r="H918" s="305"/>
      <c r="I918" s="305"/>
    </row>
    <row r="919" spans="1:9" x14ac:dyDescent="0.2">
      <c r="A919" s="310" t="s">
        <v>1366</v>
      </c>
      <c r="B919" s="310" t="s">
        <v>1376</v>
      </c>
      <c r="C919" s="309">
        <v>42259</v>
      </c>
      <c r="D919" s="308" t="s">
        <v>1730</v>
      </c>
      <c r="E919" s="307">
        <v>1</v>
      </c>
      <c r="F919" s="311">
        <v>350</v>
      </c>
      <c r="G919" s="306">
        <v>70</v>
      </c>
      <c r="H919" s="305"/>
      <c r="I919" s="305"/>
    </row>
    <row r="920" spans="1:9" x14ac:dyDescent="0.2">
      <c r="A920" s="310" t="s">
        <v>1366</v>
      </c>
      <c r="B920" s="310" t="s">
        <v>1376</v>
      </c>
      <c r="C920" s="309">
        <v>42259</v>
      </c>
      <c r="D920" s="308" t="s">
        <v>1549</v>
      </c>
      <c r="E920" s="307">
        <v>1</v>
      </c>
      <c r="F920" s="311">
        <v>350</v>
      </c>
      <c r="G920" s="306">
        <v>70</v>
      </c>
      <c r="H920" s="305"/>
      <c r="I920" s="305"/>
    </row>
    <row r="921" spans="1:9" x14ac:dyDescent="0.2">
      <c r="A921" s="310" t="s">
        <v>1364</v>
      </c>
      <c r="B921" s="310" t="s">
        <v>1367</v>
      </c>
      <c r="C921" s="309">
        <v>42091</v>
      </c>
      <c r="D921" s="308" t="s">
        <v>1662</v>
      </c>
      <c r="E921" s="307">
        <v>1</v>
      </c>
      <c r="F921" s="311">
        <v>600</v>
      </c>
      <c r="G921" s="306">
        <v>70</v>
      </c>
      <c r="H921" s="305"/>
      <c r="I921" s="305"/>
    </row>
    <row r="922" spans="1:9" x14ac:dyDescent="0.2">
      <c r="A922" s="310" t="s">
        <v>1364</v>
      </c>
      <c r="B922" s="310" t="s">
        <v>1371</v>
      </c>
      <c r="C922" s="309">
        <v>42265</v>
      </c>
      <c r="D922" s="308" t="s">
        <v>1622</v>
      </c>
      <c r="E922" s="307">
        <v>1</v>
      </c>
      <c r="F922" s="311">
        <v>600</v>
      </c>
      <c r="G922" s="306">
        <f>66+(4)</f>
        <v>70</v>
      </c>
      <c r="H922" s="305"/>
      <c r="I922" s="305"/>
    </row>
    <row r="923" spans="1:9" x14ac:dyDescent="0.2">
      <c r="A923" s="310" t="s">
        <v>1364</v>
      </c>
      <c r="B923" s="310" t="s">
        <v>1371</v>
      </c>
      <c r="C923" s="309">
        <v>42430</v>
      </c>
      <c r="D923" s="308" t="s">
        <v>2727</v>
      </c>
      <c r="E923" s="307">
        <v>1</v>
      </c>
      <c r="F923" s="311">
        <v>650</v>
      </c>
      <c r="G923" s="306">
        <f>66+(4)</f>
        <v>70</v>
      </c>
      <c r="H923" s="305"/>
      <c r="I923" s="305"/>
    </row>
    <row r="924" spans="1:9" x14ac:dyDescent="0.2">
      <c r="A924" s="310" t="s">
        <v>1364</v>
      </c>
      <c r="B924" s="310" t="s">
        <v>1367</v>
      </c>
      <c r="C924" s="309">
        <v>42638</v>
      </c>
      <c r="D924" s="308" t="s">
        <v>2779</v>
      </c>
      <c r="E924" s="307">
        <v>1</v>
      </c>
      <c r="F924" s="311">
        <v>650</v>
      </c>
      <c r="G924" s="306">
        <v>70</v>
      </c>
      <c r="H924" s="305"/>
      <c r="I924" s="305"/>
    </row>
    <row r="925" spans="1:9" x14ac:dyDescent="0.2">
      <c r="A925" s="310" t="s">
        <v>1364</v>
      </c>
      <c r="B925" s="310" t="s">
        <v>1367</v>
      </c>
      <c r="C925" s="309">
        <v>42638</v>
      </c>
      <c r="D925" s="308" t="s">
        <v>2749</v>
      </c>
      <c r="E925" s="307">
        <v>1</v>
      </c>
      <c r="F925" s="311">
        <v>650</v>
      </c>
      <c r="G925" s="306">
        <v>70</v>
      </c>
      <c r="H925" s="305"/>
      <c r="I925" s="305"/>
    </row>
    <row r="926" spans="1:9" x14ac:dyDescent="0.2">
      <c r="A926" s="310" t="s">
        <v>1364</v>
      </c>
      <c r="B926" s="310" t="s">
        <v>1367</v>
      </c>
      <c r="C926" s="309">
        <v>42638</v>
      </c>
      <c r="D926" s="308" t="s">
        <v>2774</v>
      </c>
      <c r="E926" s="307">
        <v>1</v>
      </c>
      <c r="F926" s="311">
        <v>650</v>
      </c>
      <c r="G926" s="306">
        <v>70</v>
      </c>
      <c r="H926" s="305"/>
      <c r="I926" s="305"/>
    </row>
    <row r="927" spans="1:9" x14ac:dyDescent="0.2">
      <c r="A927" s="310" t="s">
        <v>1364</v>
      </c>
      <c r="B927" s="310" t="s">
        <v>1367</v>
      </c>
      <c r="C927" s="309">
        <v>42638</v>
      </c>
      <c r="D927" s="308" t="s">
        <v>2746</v>
      </c>
      <c r="E927" s="307">
        <v>1</v>
      </c>
      <c r="F927" s="311">
        <v>650</v>
      </c>
      <c r="G927" s="306">
        <v>70</v>
      </c>
      <c r="H927" s="305"/>
      <c r="I927" s="305"/>
    </row>
    <row r="928" spans="1:9" x14ac:dyDescent="0.2">
      <c r="A928" s="310" t="s">
        <v>1362</v>
      </c>
      <c r="B928" s="310" t="s">
        <v>1365</v>
      </c>
      <c r="C928" s="309">
        <v>42127</v>
      </c>
      <c r="D928" s="308" t="s">
        <v>1586</v>
      </c>
      <c r="E928" s="307">
        <v>1</v>
      </c>
      <c r="F928" s="311">
        <v>400</v>
      </c>
      <c r="G928" s="303">
        <f>82-(12)</f>
        <v>70</v>
      </c>
      <c r="H928" s="305"/>
      <c r="I928" s="305"/>
    </row>
    <row r="929" spans="1:9" x14ac:dyDescent="0.2">
      <c r="A929" s="310" t="s">
        <v>1362</v>
      </c>
      <c r="B929" s="310" t="s">
        <v>1365</v>
      </c>
      <c r="C929" s="309">
        <v>42268</v>
      </c>
      <c r="D929" s="308" t="s">
        <v>1576</v>
      </c>
      <c r="E929" s="307">
        <v>1</v>
      </c>
      <c r="F929" s="311">
        <v>400</v>
      </c>
      <c r="G929" s="303">
        <f>82-(12)</f>
        <v>70</v>
      </c>
      <c r="H929" s="305"/>
      <c r="I929" s="305"/>
    </row>
    <row r="930" spans="1:9" x14ac:dyDescent="0.2">
      <c r="A930" s="310" t="s">
        <v>1362</v>
      </c>
      <c r="B930" s="310" t="s">
        <v>1365</v>
      </c>
      <c r="C930" s="309">
        <v>42592</v>
      </c>
      <c r="D930" s="308" t="s">
        <v>2826</v>
      </c>
      <c r="E930" s="307">
        <v>1</v>
      </c>
      <c r="F930" s="311">
        <v>400</v>
      </c>
      <c r="G930" s="303">
        <f>82-(12)</f>
        <v>70</v>
      </c>
      <c r="H930" s="305"/>
      <c r="I930" s="305"/>
    </row>
    <row r="931" spans="1:9" x14ac:dyDescent="0.2">
      <c r="A931" s="310" t="s">
        <v>1362</v>
      </c>
      <c r="B931" s="310" t="s">
        <v>1365</v>
      </c>
      <c r="C931" s="309">
        <v>42592</v>
      </c>
      <c r="D931" s="308" t="s">
        <v>2842</v>
      </c>
      <c r="E931" s="307">
        <v>1</v>
      </c>
      <c r="F931" s="311">
        <v>400</v>
      </c>
      <c r="G931" s="303">
        <f>82-(12)</f>
        <v>70</v>
      </c>
      <c r="H931" s="305"/>
      <c r="I931" s="305"/>
    </row>
    <row r="932" spans="1:9" x14ac:dyDescent="0.2">
      <c r="A932" s="310" t="s">
        <v>1362</v>
      </c>
      <c r="B932" s="310" t="s">
        <v>1365</v>
      </c>
      <c r="C932" s="309">
        <v>42654</v>
      </c>
      <c r="D932" s="308" t="s">
        <v>2863</v>
      </c>
      <c r="E932" s="307">
        <v>1</v>
      </c>
      <c r="F932" s="311">
        <v>400</v>
      </c>
      <c r="G932" s="303">
        <f>82-(12)</f>
        <v>70</v>
      </c>
      <c r="H932" s="305"/>
      <c r="I932" s="305"/>
    </row>
    <row r="933" spans="1:9" x14ac:dyDescent="0.2">
      <c r="A933" s="310" t="s">
        <v>1360</v>
      </c>
      <c r="B933" s="310" t="s">
        <v>1371</v>
      </c>
      <c r="C933" s="309">
        <v>42022</v>
      </c>
      <c r="D933" s="308" t="s">
        <v>1479</v>
      </c>
      <c r="E933" s="307">
        <v>1</v>
      </c>
      <c r="F933" s="311">
        <v>250</v>
      </c>
      <c r="G933" s="306">
        <f>66+(4)</f>
        <v>70</v>
      </c>
      <c r="H933" s="305"/>
      <c r="I933" s="305"/>
    </row>
    <row r="934" spans="1:9" x14ac:dyDescent="0.2">
      <c r="A934" s="310" t="s">
        <v>1359</v>
      </c>
      <c r="B934" s="310" t="s">
        <v>1363</v>
      </c>
      <c r="C934" s="309">
        <v>42064</v>
      </c>
      <c r="D934" s="308" t="s">
        <v>1537</v>
      </c>
      <c r="E934" s="307">
        <v>1</v>
      </c>
      <c r="F934" s="311">
        <v>400</v>
      </c>
      <c r="G934" s="307">
        <v>70</v>
      </c>
      <c r="H934" s="305"/>
      <c r="I934" s="305"/>
    </row>
    <row r="935" spans="1:9" x14ac:dyDescent="0.2">
      <c r="A935" s="310" t="s">
        <v>1359</v>
      </c>
      <c r="B935" s="310" t="s">
        <v>1363</v>
      </c>
      <c r="C935" s="309">
        <v>42064</v>
      </c>
      <c r="D935" s="308" t="s">
        <v>1506</v>
      </c>
      <c r="E935" s="307">
        <v>1</v>
      </c>
      <c r="F935" s="311">
        <v>400</v>
      </c>
      <c r="G935" s="307">
        <v>70</v>
      </c>
      <c r="H935" s="305"/>
      <c r="I935" s="305"/>
    </row>
    <row r="936" spans="1:9" x14ac:dyDescent="0.2">
      <c r="A936" s="310" t="s">
        <v>1359</v>
      </c>
      <c r="B936" s="310" t="s">
        <v>1363</v>
      </c>
      <c r="C936" s="309">
        <v>42424</v>
      </c>
      <c r="D936" s="308" t="s">
        <v>2963</v>
      </c>
      <c r="E936" s="307">
        <v>1</v>
      </c>
      <c r="F936" s="311">
        <v>400</v>
      </c>
      <c r="G936" s="307">
        <v>70</v>
      </c>
      <c r="H936" s="305"/>
      <c r="I936" s="305"/>
    </row>
    <row r="937" spans="1:9" x14ac:dyDescent="0.2">
      <c r="A937" s="310" t="s">
        <v>1358</v>
      </c>
      <c r="B937" s="310" t="s">
        <v>1375</v>
      </c>
      <c r="C937" s="309">
        <v>42289</v>
      </c>
      <c r="D937" s="308" t="s">
        <v>1422</v>
      </c>
      <c r="E937" s="307">
        <v>1</v>
      </c>
      <c r="F937" s="311">
        <v>300</v>
      </c>
      <c r="G937" s="307">
        <v>70</v>
      </c>
      <c r="H937" s="305"/>
      <c r="I937" s="305"/>
    </row>
    <row r="938" spans="1:9" x14ac:dyDescent="0.2">
      <c r="A938" s="310" t="s">
        <v>1358</v>
      </c>
      <c r="B938" s="310" t="s">
        <v>1375</v>
      </c>
      <c r="C938" s="309">
        <v>42544</v>
      </c>
      <c r="D938" s="308" t="s">
        <v>3052</v>
      </c>
      <c r="E938" s="307">
        <v>1</v>
      </c>
      <c r="F938" s="311">
        <v>320</v>
      </c>
      <c r="G938" s="307">
        <v>70</v>
      </c>
      <c r="H938" s="305"/>
      <c r="I938" s="305"/>
    </row>
    <row r="939" spans="1:9" x14ac:dyDescent="0.2">
      <c r="A939" s="310" t="s">
        <v>1358</v>
      </c>
      <c r="B939" s="310" t="s">
        <v>1375</v>
      </c>
      <c r="C939" s="309">
        <v>42544</v>
      </c>
      <c r="D939" s="308" t="s">
        <v>3050</v>
      </c>
      <c r="E939" s="307">
        <v>1</v>
      </c>
      <c r="F939" s="311">
        <v>320</v>
      </c>
      <c r="G939" s="307">
        <v>70</v>
      </c>
      <c r="I939" s="305"/>
    </row>
    <row r="940" spans="1:9" x14ac:dyDescent="0.2">
      <c r="A940" s="310" t="s">
        <v>1319</v>
      </c>
      <c r="B940" s="310" t="s">
        <v>1371</v>
      </c>
      <c r="C940" s="309">
        <v>42476</v>
      </c>
      <c r="D940" s="308" t="s">
        <v>2084</v>
      </c>
      <c r="E940" s="307">
        <v>1</v>
      </c>
      <c r="F940" s="311">
        <v>120</v>
      </c>
      <c r="G940" s="306">
        <f>67+(4)</f>
        <v>71</v>
      </c>
      <c r="I940" s="305"/>
    </row>
    <row r="941" spans="1:9" x14ac:dyDescent="0.2">
      <c r="A941" s="310" t="s">
        <v>1319</v>
      </c>
      <c r="B941" s="310" t="s">
        <v>1371</v>
      </c>
      <c r="C941" s="309">
        <v>42476</v>
      </c>
      <c r="D941" s="308" t="s">
        <v>2085</v>
      </c>
      <c r="E941" s="307">
        <v>1</v>
      </c>
      <c r="F941" s="311">
        <v>120</v>
      </c>
      <c r="G941" s="306">
        <f>67+(4)</f>
        <v>71</v>
      </c>
      <c r="I941" s="305"/>
    </row>
    <row r="942" spans="1:9" x14ac:dyDescent="0.2">
      <c r="A942" s="310" t="s">
        <v>1319</v>
      </c>
      <c r="B942" s="310" t="s">
        <v>1371</v>
      </c>
      <c r="C942" s="309">
        <v>42476</v>
      </c>
      <c r="D942" s="308" t="s">
        <v>2082</v>
      </c>
      <c r="E942" s="307">
        <v>1</v>
      </c>
      <c r="F942" s="311">
        <v>120</v>
      </c>
      <c r="G942" s="306">
        <f>67+(4)</f>
        <v>71</v>
      </c>
      <c r="I942" s="305"/>
    </row>
    <row r="943" spans="1:9" x14ac:dyDescent="0.2">
      <c r="A943" s="310" t="s">
        <v>1374</v>
      </c>
      <c r="B943" s="310" t="s">
        <v>1369</v>
      </c>
      <c r="C943" s="309">
        <v>42531</v>
      </c>
      <c r="D943" s="308" t="s">
        <v>2241</v>
      </c>
      <c r="E943" s="307">
        <v>1</v>
      </c>
      <c r="F943" s="311">
        <v>320</v>
      </c>
      <c r="G943" s="307">
        <v>71</v>
      </c>
      <c r="I943" s="305"/>
    </row>
    <row r="944" spans="1:9" x14ac:dyDescent="0.2">
      <c r="A944" s="310" t="s">
        <v>1372</v>
      </c>
      <c r="B944" s="310" t="s">
        <v>1363</v>
      </c>
      <c r="C944" s="309">
        <v>42271</v>
      </c>
      <c r="D944" s="308" t="s">
        <v>1947</v>
      </c>
      <c r="E944" s="307">
        <v>1</v>
      </c>
      <c r="F944" s="311">
        <v>300</v>
      </c>
      <c r="G944" s="307">
        <v>71</v>
      </c>
      <c r="I944" s="305"/>
    </row>
    <row r="945" spans="1:9" x14ac:dyDescent="0.2">
      <c r="A945" s="310" t="s">
        <v>1370</v>
      </c>
      <c r="B945" s="310" t="s">
        <v>1361</v>
      </c>
      <c r="C945" s="309">
        <v>42036</v>
      </c>
      <c r="D945" s="308" t="s">
        <v>1910</v>
      </c>
      <c r="E945" s="307">
        <v>1</v>
      </c>
      <c r="F945" s="311">
        <v>500</v>
      </c>
      <c r="G945" s="303">
        <f>76-(5)</f>
        <v>71</v>
      </c>
      <c r="I945" s="305"/>
    </row>
    <row r="946" spans="1:9" x14ac:dyDescent="0.2">
      <c r="A946" s="310" t="s">
        <v>1368</v>
      </c>
      <c r="B946" s="310" t="s">
        <v>1367</v>
      </c>
      <c r="C946" s="309">
        <v>42068</v>
      </c>
      <c r="D946" s="308" t="s">
        <v>1827</v>
      </c>
      <c r="E946" s="307">
        <v>1</v>
      </c>
      <c r="F946" s="311">
        <v>200</v>
      </c>
      <c r="G946" s="306">
        <v>71</v>
      </c>
      <c r="I946" s="305"/>
    </row>
    <row r="947" spans="1:9" x14ac:dyDescent="0.2">
      <c r="A947" s="310" t="s">
        <v>1368</v>
      </c>
      <c r="B947" s="310" t="s">
        <v>1367</v>
      </c>
      <c r="C947" s="309">
        <v>42282</v>
      </c>
      <c r="D947" s="308" t="s">
        <v>1752</v>
      </c>
      <c r="E947" s="307">
        <v>1</v>
      </c>
      <c r="F947" s="311">
        <v>200</v>
      </c>
      <c r="G947" s="306">
        <v>71</v>
      </c>
      <c r="I947" s="305"/>
    </row>
    <row r="948" spans="1:9" x14ac:dyDescent="0.2">
      <c r="A948" s="310" t="s">
        <v>1368</v>
      </c>
      <c r="B948" s="310" t="s">
        <v>1371</v>
      </c>
      <c r="C948" s="309">
        <v>42340</v>
      </c>
      <c r="D948" s="308" t="s">
        <v>1839</v>
      </c>
      <c r="E948" s="307">
        <v>1</v>
      </c>
      <c r="F948" s="311">
        <v>200</v>
      </c>
      <c r="G948" s="306">
        <f>67+(4)</f>
        <v>71</v>
      </c>
      <c r="H948" s="305"/>
      <c r="I948" s="305"/>
    </row>
    <row r="949" spans="1:9" x14ac:dyDescent="0.2">
      <c r="A949" s="310" t="s">
        <v>1368</v>
      </c>
      <c r="B949" s="310" t="s">
        <v>1371</v>
      </c>
      <c r="C949" s="309">
        <v>42412</v>
      </c>
      <c r="D949" s="308" t="s">
        <v>2436</v>
      </c>
      <c r="E949" s="307">
        <v>1</v>
      </c>
      <c r="F949" s="311">
        <v>200</v>
      </c>
      <c r="G949" s="306">
        <f>67+(4)</f>
        <v>71</v>
      </c>
      <c r="I949" s="305"/>
    </row>
    <row r="950" spans="1:9" x14ac:dyDescent="0.2">
      <c r="A950" s="310" t="s">
        <v>1368</v>
      </c>
      <c r="B950" s="310" t="s">
        <v>1371</v>
      </c>
      <c r="C950" s="309">
        <v>42412</v>
      </c>
      <c r="D950" s="308" t="s">
        <v>2412</v>
      </c>
      <c r="E950" s="307">
        <v>1</v>
      </c>
      <c r="F950" s="311">
        <v>200</v>
      </c>
      <c r="G950" s="306">
        <f>67+(4)</f>
        <v>71</v>
      </c>
      <c r="I950" s="305"/>
    </row>
    <row r="951" spans="1:9" x14ac:dyDescent="0.2">
      <c r="A951" s="310" t="s">
        <v>1368</v>
      </c>
      <c r="B951" s="310" t="s">
        <v>1367</v>
      </c>
      <c r="C951" s="309">
        <v>42439</v>
      </c>
      <c r="D951" s="308" t="s">
        <v>2457</v>
      </c>
      <c r="E951" s="307">
        <v>1</v>
      </c>
      <c r="F951" s="311">
        <v>200</v>
      </c>
      <c r="G951" s="306">
        <v>71</v>
      </c>
      <c r="I951" s="305"/>
    </row>
    <row r="952" spans="1:9" x14ac:dyDescent="0.2">
      <c r="A952" s="310" t="s">
        <v>1368</v>
      </c>
      <c r="B952" s="310" t="s">
        <v>1367</v>
      </c>
      <c r="C952" s="309">
        <v>42545</v>
      </c>
      <c r="D952" s="308" t="s">
        <v>2584</v>
      </c>
      <c r="E952" s="307">
        <v>1</v>
      </c>
      <c r="F952" s="311">
        <v>200</v>
      </c>
      <c r="G952" s="306">
        <v>71</v>
      </c>
      <c r="H952" s="305"/>
      <c r="I952" s="305"/>
    </row>
    <row r="953" spans="1:9" x14ac:dyDescent="0.2">
      <c r="A953" s="310" t="s">
        <v>1368</v>
      </c>
      <c r="B953" s="310" t="s">
        <v>1367</v>
      </c>
      <c r="C953" s="309">
        <v>42563</v>
      </c>
      <c r="D953" s="308" t="s">
        <v>2591</v>
      </c>
      <c r="E953" s="307">
        <v>1</v>
      </c>
      <c r="F953" s="311">
        <v>200</v>
      </c>
      <c r="G953" s="306">
        <v>71</v>
      </c>
      <c r="I953" s="305"/>
    </row>
    <row r="954" spans="1:9" x14ac:dyDescent="0.2">
      <c r="A954" s="310" t="s">
        <v>1364</v>
      </c>
      <c r="B954" s="310" t="s">
        <v>1367</v>
      </c>
      <c r="C954" s="309">
        <v>42091</v>
      </c>
      <c r="D954" s="308" t="s">
        <v>1689</v>
      </c>
      <c r="E954" s="307">
        <v>1</v>
      </c>
      <c r="F954" s="311">
        <v>600</v>
      </c>
      <c r="G954" s="306">
        <v>71</v>
      </c>
      <c r="H954" s="305"/>
      <c r="I954" s="305"/>
    </row>
    <row r="955" spans="1:9" x14ac:dyDescent="0.2">
      <c r="A955" s="310" t="s">
        <v>1364</v>
      </c>
      <c r="B955" s="310" t="s">
        <v>1371</v>
      </c>
      <c r="C955" s="309">
        <v>42157</v>
      </c>
      <c r="D955" s="308" t="s">
        <v>1722</v>
      </c>
      <c r="E955" s="307">
        <v>1</v>
      </c>
      <c r="F955" s="311">
        <v>600</v>
      </c>
      <c r="G955" s="306">
        <f>67+(4)</f>
        <v>71</v>
      </c>
      <c r="H955" s="305"/>
      <c r="I955" s="305"/>
    </row>
    <row r="956" spans="1:9" x14ac:dyDescent="0.2">
      <c r="A956" s="310" t="s">
        <v>1364</v>
      </c>
      <c r="B956" s="310" t="s">
        <v>1371</v>
      </c>
      <c r="C956" s="309">
        <v>42157</v>
      </c>
      <c r="D956" s="308" t="s">
        <v>1560</v>
      </c>
      <c r="E956" s="307">
        <v>1</v>
      </c>
      <c r="F956" s="311">
        <v>600</v>
      </c>
      <c r="G956" s="306">
        <f>67+(4)</f>
        <v>71</v>
      </c>
      <c r="H956" s="305"/>
      <c r="I956" s="305"/>
    </row>
    <row r="957" spans="1:9" x14ac:dyDescent="0.2">
      <c r="A957" s="310" t="s">
        <v>1364</v>
      </c>
      <c r="B957" s="310" t="s">
        <v>1367</v>
      </c>
      <c r="C957" s="309">
        <v>42638</v>
      </c>
      <c r="D957" s="308" t="s">
        <v>2751</v>
      </c>
      <c r="E957" s="307">
        <v>1</v>
      </c>
      <c r="F957" s="311">
        <v>650</v>
      </c>
      <c r="G957" s="306">
        <v>71</v>
      </c>
      <c r="H957" s="305"/>
      <c r="I957" s="305"/>
    </row>
    <row r="958" spans="1:9" x14ac:dyDescent="0.2">
      <c r="A958" s="310" t="s">
        <v>1364</v>
      </c>
      <c r="B958" s="310" t="s">
        <v>1367</v>
      </c>
      <c r="C958" s="309">
        <v>42638</v>
      </c>
      <c r="D958" s="308" t="s">
        <v>2800</v>
      </c>
      <c r="E958" s="307">
        <v>1</v>
      </c>
      <c r="F958" s="311">
        <v>650</v>
      </c>
      <c r="G958" s="306">
        <v>71</v>
      </c>
      <c r="I958" s="305"/>
    </row>
    <row r="959" spans="1:9" x14ac:dyDescent="0.2">
      <c r="A959" s="310" t="s">
        <v>1362</v>
      </c>
      <c r="B959" s="310" t="s">
        <v>1365</v>
      </c>
      <c r="C959" s="309">
        <v>42058</v>
      </c>
      <c r="D959" s="308" t="s">
        <v>1656</v>
      </c>
      <c r="E959" s="307">
        <v>1</v>
      </c>
      <c r="F959" s="311">
        <v>400</v>
      </c>
      <c r="G959" s="303">
        <f>83-(12)</f>
        <v>71</v>
      </c>
      <c r="I959" s="305"/>
    </row>
    <row r="960" spans="1:9" x14ac:dyDescent="0.2">
      <c r="A960" s="310" t="s">
        <v>1362</v>
      </c>
      <c r="B960" s="310" t="s">
        <v>1365</v>
      </c>
      <c r="C960" s="309">
        <v>42654</v>
      </c>
      <c r="D960" s="308" t="s">
        <v>2852</v>
      </c>
      <c r="E960" s="307">
        <v>1</v>
      </c>
      <c r="F960" s="311">
        <v>400</v>
      </c>
      <c r="G960" s="303">
        <f>83-(12)</f>
        <v>71</v>
      </c>
      <c r="I960" s="305"/>
    </row>
    <row r="961" spans="1:9" x14ac:dyDescent="0.2">
      <c r="A961" s="310" t="s">
        <v>1359</v>
      </c>
      <c r="B961" s="310" t="s">
        <v>1363</v>
      </c>
      <c r="C961" s="309">
        <v>42064</v>
      </c>
      <c r="D961" s="308" t="s">
        <v>1532</v>
      </c>
      <c r="E961" s="307">
        <v>1</v>
      </c>
      <c r="F961" s="311">
        <v>400</v>
      </c>
      <c r="G961" s="307">
        <v>71</v>
      </c>
      <c r="I961" s="305"/>
    </row>
    <row r="962" spans="1:9" x14ac:dyDescent="0.2">
      <c r="A962" s="310" t="s">
        <v>1359</v>
      </c>
      <c r="B962" s="310" t="s">
        <v>1363</v>
      </c>
      <c r="C962" s="309">
        <v>42064</v>
      </c>
      <c r="D962" s="308" t="s">
        <v>1523</v>
      </c>
      <c r="E962" s="307">
        <v>1</v>
      </c>
      <c r="F962" s="311">
        <v>400</v>
      </c>
      <c r="G962" s="307">
        <v>71</v>
      </c>
      <c r="I962" s="305"/>
    </row>
    <row r="963" spans="1:9" x14ac:dyDescent="0.2">
      <c r="A963" s="310" t="s">
        <v>1359</v>
      </c>
      <c r="B963" s="310" t="s">
        <v>1363</v>
      </c>
      <c r="C963" s="309">
        <v>42064</v>
      </c>
      <c r="D963" s="308" t="s">
        <v>1508</v>
      </c>
      <c r="E963" s="307">
        <v>1</v>
      </c>
      <c r="F963" s="311">
        <v>400</v>
      </c>
      <c r="G963" s="307">
        <v>71</v>
      </c>
      <c r="I963" s="305"/>
    </row>
    <row r="964" spans="1:9" x14ac:dyDescent="0.2">
      <c r="A964" s="310" t="s">
        <v>1359</v>
      </c>
      <c r="B964" s="310" t="s">
        <v>1363</v>
      </c>
      <c r="C964" s="309">
        <v>42424</v>
      </c>
      <c r="D964" s="308" t="s">
        <v>2987</v>
      </c>
      <c r="E964" s="307">
        <v>1</v>
      </c>
      <c r="F964" s="311">
        <v>400</v>
      </c>
      <c r="G964" s="307">
        <v>71</v>
      </c>
      <c r="I964" s="305"/>
    </row>
    <row r="965" spans="1:9" x14ac:dyDescent="0.2">
      <c r="A965" s="310" t="s">
        <v>1359</v>
      </c>
      <c r="B965" s="310" t="s">
        <v>1363</v>
      </c>
      <c r="C965" s="309">
        <v>42424</v>
      </c>
      <c r="D965" s="308" t="s">
        <v>2202</v>
      </c>
      <c r="E965" s="307">
        <v>1</v>
      </c>
      <c r="F965" s="311">
        <v>400</v>
      </c>
      <c r="G965" s="307">
        <v>71</v>
      </c>
      <c r="I965" s="305"/>
    </row>
    <row r="966" spans="1:9" x14ac:dyDescent="0.2">
      <c r="A966" s="310" t="s">
        <v>1358</v>
      </c>
      <c r="B966" s="310" t="s">
        <v>1375</v>
      </c>
      <c r="C966" s="309">
        <v>42289</v>
      </c>
      <c r="D966" s="308" t="s">
        <v>1393</v>
      </c>
      <c r="E966" s="307">
        <v>1</v>
      </c>
      <c r="F966" s="311">
        <v>300</v>
      </c>
      <c r="G966" s="307">
        <v>71</v>
      </c>
      <c r="I966" s="305"/>
    </row>
    <row r="967" spans="1:9" x14ac:dyDescent="0.2">
      <c r="A967" s="310" t="s">
        <v>1358</v>
      </c>
      <c r="B967" s="310" t="s">
        <v>1375</v>
      </c>
      <c r="C967" s="309">
        <v>42460</v>
      </c>
      <c r="D967" s="308" t="s">
        <v>3015</v>
      </c>
      <c r="E967" s="307">
        <v>1</v>
      </c>
      <c r="F967" s="311">
        <v>320</v>
      </c>
      <c r="G967" s="307">
        <v>71</v>
      </c>
      <c r="I967" s="305"/>
    </row>
    <row r="968" spans="1:9" x14ac:dyDescent="0.2">
      <c r="A968" s="310" t="s">
        <v>1319</v>
      </c>
      <c r="B968" s="310" t="s">
        <v>1361</v>
      </c>
      <c r="C968" s="309">
        <v>42019</v>
      </c>
      <c r="D968" s="308" t="s">
        <v>1626</v>
      </c>
      <c r="E968" s="307">
        <v>1</v>
      </c>
      <c r="F968" s="311">
        <v>100</v>
      </c>
      <c r="G968" s="303">
        <f>77-(5)</f>
        <v>72</v>
      </c>
      <c r="H968" s="305"/>
      <c r="I968" s="305"/>
    </row>
    <row r="969" spans="1:9" x14ac:dyDescent="0.2">
      <c r="A969" s="310" t="s">
        <v>1319</v>
      </c>
      <c r="B969" s="310" t="s">
        <v>1373</v>
      </c>
      <c r="C969" s="309">
        <v>42415</v>
      </c>
      <c r="D969" s="308" t="s">
        <v>2048</v>
      </c>
      <c r="E969" s="307">
        <v>1</v>
      </c>
      <c r="F969" s="311">
        <v>120</v>
      </c>
      <c r="G969" s="306">
        <f>79-(7)</f>
        <v>72</v>
      </c>
      <c r="I969" s="305"/>
    </row>
    <row r="970" spans="1:9" x14ac:dyDescent="0.2">
      <c r="A970" s="310" t="s">
        <v>1319</v>
      </c>
      <c r="B970" s="310" t="s">
        <v>1371</v>
      </c>
      <c r="C970" s="309">
        <v>42476</v>
      </c>
      <c r="D970" s="308" t="s">
        <v>2110</v>
      </c>
      <c r="E970" s="307">
        <v>1</v>
      </c>
      <c r="F970" s="311">
        <v>120</v>
      </c>
      <c r="G970" s="306">
        <f>68+(4)</f>
        <v>72</v>
      </c>
      <c r="I970" s="305"/>
    </row>
    <row r="971" spans="1:9" x14ac:dyDescent="0.2">
      <c r="A971" s="310" t="s">
        <v>1319</v>
      </c>
      <c r="B971" s="310" t="s">
        <v>1371</v>
      </c>
      <c r="C971" s="309">
        <v>42476</v>
      </c>
      <c r="D971" s="308" t="s">
        <v>2099</v>
      </c>
      <c r="E971" s="307">
        <v>1</v>
      </c>
      <c r="F971" s="311">
        <v>120</v>
      </c>
      <c r="G971" s="306">
        <f>68+(4)</f>
        <v>72</v>
      </c>
      <c r="I971" s="305"/>
    </row>
    <row r="972" spans="1:9" x14ac:dyDescent="0.2">
      <c r="A972" s="310" t="s">
        <v>1313</v>
      </c>
      <c r="B972" s="310" t="s">
        <v>1373</v>
      </c>
      <c r="C972" s="309">
        <v>42105</v>
      </c>
      <c r="D972" s="308" t="s">
        <v>1773</v>
      </c>
      <c r="E972" s="307">
        <v>1</v>
      </c>
      <c r="F972" s="311">
        <v>200</v>
      </c>
      <c r="G972" s="306">
        <f>79-(7)</f>
        <v>72</v>
      </c>
      <c r="I972" s="305"/>
    </row>
    <row r="973" spans="1:9" x14ac:dyDescent="0.2">
      <c r="A973" s="310" t="s">
        <v>1313</v>
      </c>
      <c r="B973" s="310" t="s">
        <v>1361</v>
      </c>
      <c r="C973" s="309">
        <v>42177</v>
      </c>
      <c r="D973" s="308" t="s">
        <v>1972</v>
      </c>
      <c r="E973" s="307">
        <v>1</v>
      </c>
      <c r="F973" s="311">
        <v>200</v>
      </c>
      <c r="G973" s="303">
        <f>77-(5)</f>
        <v>72</v>
      </c>
      <c r="I973" s="305"/>
    </row>
    <row r="974" spans="1:9" x14ac:dyDescent="0.2">
      <c r="A974" s="310" t="s">
        <v>1313</v>
      </c>
      <c r="B974" s="310" t="s">
        <v>1373</v>
      </c>
      <c r="C974" s="309">
        <v>42384</v>
      </c>
      <c r="D974" s="308" t="s">
        <v>2165</v>
      </c>
      <c r="E974" s="307">
        <v>1</v>
      </c>
      <c r="F974" s="311">
        <v>210</v>
      </c>
      <c r="G974" s="306">
        <f>79-(7)</f>
        <v>72</v>
      </c>
      <c r="I974" s="305"/>
    </row>
    <row r="975" spans="1:9" x14ac:dyDescent="0.2">
      <c r="A975" s="310" t="s">
        <v>1313</v>
      </c>
      <c r="B975" s="310" t="s">
        <v>1361</v>
      </c>
      <c r="C975" s="309">
        <v>42636</v>
      </c>
      <c r="D975" s="308" t="s">
        <v>2200</v>
      </c>
      <c r="E975" s="307">
        <v>1</v>
      </c>
      <c r="F975" s="311">
        <v>210</v>
      </c>
      <c r="G975" s="303">
        <f>77-(5)</f>
        <v>72</v>
      </c>
      <c r="H975" s="305"/>
      <c r="I975" s="305"/>
    </row>
    <row r="976" spans="1:9" x14ac:dyDescent="0.2">
      <c r="A976" s="310" t="s">
        <v>1372</v>
      </c>
      <c r="B976" s="310" t="s">
        <v>1365</v>
      </c>
      <c r="C976" s="309">
        <v>42056</v>
      </c>
      <c r="D976" s="308" t="s">
        <v>1464</v>
      </c>
      <c r="E976" s="307">
        <v>1</v>
      </c>
      <c r="F976" s="311">
        <v>300</v>
      </c>
      <c r="G976" s="303">
        <f>84-(12)</f>
        <v>72</v>
      </c>
      <c r="I976" s="305"/>
    </row>
    <row r="977" spans="1:9" x14ac:dyDescent="0.2">
      <c r="A977" s="310" t="s">
        <v>1372</v>
      </c>
      <c r="B977" s="310" t="s">
        <v>1365</v>
      </c>
      <c r="C977" s="309">
        <v>42056</v>
      </c>
      <c r="D977" s="308" t="s">
        <v>1954</v>
      </c>
      <c r="E977" s="307">
        <v>1</v>
      </c>
      <c r="F977" s="311">
        <v>300</v>
      </c>
      <c r="G977" s="303">
        <f>84-(12)</f>
        <v>72</v>
      </c>
      <c r="I977" s="305"/>
    </row>
    <row r="978" spans="1:9" x14ac:dyDescent="0.2">
      <c r="A978" s="310" t="s">
        <v>1372</v>
      </c>
      <c r="B978" s="310" t="s">
        <v>1363</v>
      </c>
      <c r="C978" s="309">
        <v>42271</v>
      </c>
      <c r="D978" s="308" t="s">
        <v>1544</v>
      </c>
      <c r="E978" s="307">
        <v>1</v>
      </c>
      <c r="F978" s="311">
        <v>300</v>
      </c>
      <c r="G978" s="307">
        <v>72</v>
      </c>
      <c r="I978" s="305"/>
    </row>
    <row r="979" spans="1:9" x14ac:dyDescent="0.2">
      <c r="A979" s="310" t="s">
        <v>1370</v>
      </c>
      <c r="B979" s="310" t="s">
        <v>1361</v>
      </c>
      <c r="C979" s="309">
        <v>42139</v>
      </c>
      <c r="D979" s="308" t="s">
        <v>1406</v>
      </c>
      <c r="E979" s="307">
        <v>1</v>
      </c>
      <c r="F979" s="311">
        <v>500</v>
      </c>
      <c r="G979" s="303">
        <f>77-(5)</f>
        <v>72</v>
      </c>
      <c r="H979" s="305"/>
      <c r="I979" s="305"/>
    </row>
    <row r="980" spans="1:9" x14ac:dyDescent="0.2">
      <c r="A980" s="310" t="s">
        <v>1368</v>
      </c>
      <c r="B980" s="310" t="s">
        <v>1367</v>
      </c>
      <c r="C980" s="309">
        <v>42068</v>
      </c>
      <c r="D980" s="308" t="s">
        <v>1831</v>
      </c>
      <c r="E980" s="307">
        <v>1</v>
      </c>
      <c r="F980" s="311">
        <v>200</v>
      </c>
      <c r="G980" s="306">
        <v>72</v>
      </c>
      <c r="H980" s="305"/>
      <c r="I980" s="305"/>
    </row>
    <row r="981" spans="1:9" x14ac:dyDescent="0.2">
      <c r="A981" s="310" t="s">
        <v>1368</v>
      </c>
      <c r="B981" s="310" t="s">
        <v>1367</v>
      </c>
      <c r="C981" s="309">
        <v>42068</v>
      </c>
      <c r="D981" s="308" t="s">
        <v>1818</v>
      </c>
      <c r="E981" s="307">
        <v>1</v>
      </c>
      <c r="F981" s="311">
        <v>200</v>
      </c>
      <c r="G981" s="306">
        <v>72</v>
      </c>
      <c r="H981" s="305"/>
      <c r="I981" s="305"/>
    </row>
    <row r="982" spans="1:9" x14ac:dyDescent="0.2">
      <c r="A982" s="310" t="s">
        <v>1368</v>
      </c>
      <c r="B982" s="310" t="s">
        <v>1367</v>
      </c>
      <c r="C982" s="309">
        <v>42170</v>
      </c>
      <c r="D982" s="308" t="s">
        <v>1799</v>
      </c>
      <c r="E982" s="307">
        <v>1</v>
      </c>
      <c r="F982" s="311">
        <v>200</v>
      </c>
      <c r="G982" s="306">
        <v>72</v>
      </c>
      <c r="H982" s="305"/>
      <c r="I982" s="305"/>
    </row>
    <row r="983" spans="1:9" x14ac:dyDescent="0.2">
      <c r="A983" s="310" t="s">
        <v>1368</v>
      </c>
      <c r="B983" s="310" t="s">
        <v>1367</v>
      </c>
      <c r="C983" s="309">
        <v>42170</v>
      </c>
      <c r="D983" s="308" t="s">
        <v>1788</v>
      </c>
      <c r="E983" s="307">
        <v>1</v>
      </c>
      <c r="F983" s="311">
        <v>200</v>
      </c>
      <c r="G983" s="306">
        <v>72</v>
      </c>
      <c r="H983" s="305"/>
      <c r="I983" s="305"/>
    </row>
    <row r="984" spans="1:9" x14ac:dyDescent="0.2">
      <c r="A984" s="310" t="s">
        <v>1368</v>
      </c>
      <c r="B984" s="310" t="s">
        <v>1367</v>
      </c>
      <c r="C984" s="309">
        <v>42170</v>
      </c>
      <c r="D984" s="308" t="s">
        <v>1397</v>
      </c>
      <c r="E984" s="307">
        <v>1</v>
      </c>
      <c r="F984" s="311">
        <v>200</v>
      </c>
      <c r="G984" s="306">
        <v>72</v>
      </c>
      <c r="H984" s="305"/>
      <c r="I984" s="305"/>
    </row>
    <row r="985" spans="1:9" x14ac:dyDescent="0.2">
      <c r="A985" s="310" t="s">
        <v>1368</v>
      </c>
      <c r="B985" s="310" t="s">
        <v>1367</v>
      </c>
      <c r="C985" s="309">
        <v>42282</v>
      </c>
      <c r="D985" s="308" t="s">
        <v>1762</v>
      </c>
      <c r="E985" s="307">
        <v>1</v>
      </c>
      <c r="F985" s="311">
        <v>200</v>
      </c>
      <c r="G985" s="306">
        <v>72</v>
      </c>
      <c r="I985" s="305"/>
    </row>
    <row r="986" spans="1:9" x14ac:dyDescent="0.2">
      <c r="A986" s="310" t="s">
        <v>1368</v>
      </c>
      <c r="B986" s="310" t="s">
        <v>1367</v>
      </c>
      <c r="C986" s="309">
        <v>42282</v>
      </c>
      <c r="D986" s="308" t="s">
        <v>1739</v>
      </c>
      <c r="E986" s="307">
        <v>1</v>
      </c>
      <c r="F986" s="311">
        <v>200</v>
      </c>
      <c r="G986" s="306">
        <v>72</v>
      </c>
      <c r="I986" s="305"/>
    </row>
    <row r="987" spans="1:9" x14ac:dyDescent="0.2">
      <c r="A987" s="310" t="s">
        <v>1368</v>
      </c>
      <c r="B987" s="310" t="s">
        <v>1371</v>
      </c>
      <c r="C987" s="309">
        <v>42323</v>
      </c>
      <c r="D987" s="308" t="s">
        <v>1526</v>
      </c>
      <c r="E987" s="307">
        <v>1</v>
      </c>
      <c r="F987" s="311">
        <v>200</v>
      </c>
      <c r="G987" s="306">
        <f>68+(4)</f>
        <v>72</v>
      </c>
      <c r="H987" s="305"/>
      <c r="I987" s="305"/>
    </row>
    <row r="988" spans="1:9" x14ac:dyDescent="0.2">
      <c r="A988" s="310" t="s">
        <v>1368</v>
      </c>
      <c r="B988" s="310" t="s">
        <v>1371</v>
      </c>
      <c r="C988" s="309">
        <v>42323</v>
      </c>
      <c r="D988" s="308" t="s">
        <v>1509</v>
      </c>
      <c r="E988" s="307">
        <v>1</v>
      </c>
      <c r="F988" s="311">
        <v>200</v>
      </c>
      <c r="G988" s="306">
        <f>68+(4)</f>
        <v>72</v>
      </c>
      <c r="I988" s="305"/>
    </row>
    <row r="989" spans="1:9" x14ac:dyDescent="0.2">
      <c r="A989" s="310" t="s">
        <v>1368</v>
      </c>
      <c r="B989" s="310" t="s">
        <v>1371</v>
      </c>
      <c r="C989" s="309">
        <v>42340</v>
      </c>
      <c r="D989" s="308" t="s">
        <v>1867</v>
      </c>
      <c r="E989" s="307">
        <v>1</v>
      </c>
      <c r="F989" s="311">
        <v>200</v>
      </c>
      <c r="G989" s="306">
        <f>68+(4)</f>
        <v>72</v>
      </c>
      <c r="H989" s="305"/>
      <c r="I989" s="305"/>
    </row>
    <row r="990" spans="1:9" x14ac:dyDescent="0.2">
      <c r="A990" s="310" t="s">
        <v>1368</v>
      </c>
      <c r="B990" s="310" t="s">
        <v>1371</v>
      </c>
      <c r="C990" s="309">
        <v>42340</v>
      </c>
      <c r="D990" s="308" t="s">
        <v>1528</v>
      </c>
      <c r="E990" s="307">
        <v>1</v>
      </c>
      <c r="F990" s="311">
        <v>200</v>
      </c>
      <c r="G990" s="306">
        <f>68+(4)</f>
        <v>72</v>
      </c>
      <c r="H990" s="305"/>
      <c r="I990" s="305"/>
    </row>
    <row r="991" spans="1:9" x14ac:dyDescent="0.2">
      <c r="A991" s="310" t="s">
        <v>1368</v>
      </c>
      <c r="B991" s="310" t="s">
        <v>1371</v>
      </c>
      <c r="C991" s="309">
        <v>42340</v>
      </c>
      <c r="D991" s="308" t="s">
        <v>1848</v>
      </c>
      <c r="E991" s="307">
        <v>1</v>
      </c>
      <c r="F991" s="311">
        <v>200</v>
      </c>
      <c r="G991" s="306">
        <f>68+(4)</f>
        <v>72</v>
      </c>
      <c r="H991" s="305"/>
      <c r="I991" s="305"/>
    </row>
    <row r="992" spans="1:9" x14ac:dyDescent="0.2">
      <c r="A992" s="310" t="s">
        <v>1368</v>
      </c>
      <c r="B992" s="310" t="s">
        <v>1367</v>
      </c>
      <c r="C992" s="309">
        <v>42563</v>
      </c>
      <c r="D992" s="308" t="s">
        <v>2101</v>
      </c>
      <c r="E992" s="307">
        <v>1</v>
      </c>
      <c r="F992" s="311">
        <v>200</v>
      </c>
      <c r="G992" s="306">
        <v>72</v>
      </c>
      <c r="I992" s="305"/>
    </row>
    <row r="993" spans="1:9" x14ac:dyDescent="0.2">
      <c r="A993" s="310" t="s">
        <v>1366</v>
      </c>
      <c r="B993" s="310" t="s">
        <v>1376</v>
      </c>
      <c r="C993" s="309">
        <v>42562</v>
      </c>
      <c r="D993" s="308" t="s">
        <v>2696</v>
      </c>
      <c r="E993" s="307">
        <v>1</v>
      </c>
      <c r="F993" s="311">
        <v>380</v>
      </c>
      <c r="G993" s="306">
        <v>72</v>
      </c>
      <c r="I993" s="305"/>
    </row>
    <row r="994" spans="1:9" x14ac:dyDescent="0.2">
      <c r="A994" s="310" t="s">
        <v>1364</v>
      </c>
      <c r="B994" s="310" t="s">
        <v>1367</v>
      </c>
      <c r="C994" s="309">
        <v>42091</v>
      </c>
      <c r="D994" s="308" t="s">
        <v>1665</v>
      </c>
      <c r="E994" s="307">
        <v>1</v>
      </c>
      <c r="F994" s="311">
        <v>600</v>
      </c>
      <c r="G994" s="306">
        <v>72</v>
      </c>
      <c r="I994" s="305"/>
    </row>
    <row r="995" spans="1:9" x14ac:dyDescent="0.2">
      <c r="A995" s="310" t="s">
        <v>1364</v>
      </c>
      <c r="B995" s="310" t="s">
        <v>1371</v>
      </c>
      <c r="C995" s="309">
        <v>42265</v>
      </c>
      <c r="D995" s="308" t="s">
        <v>1698</v>
      </c>
      <c r="E995" s="307">
        <v>1</v>
      </c>
      <c r="F995" s="311">
        <v>600</v>
      </c>
      <c r="G995" s="306">
        <f>68+(4)</f>
        <v>72</v>
      </c>
      <c r="I995" s="305"/>
    </row>
    <row r="996" spans="1:9" x14ac:dyDescent="0.2">
      <c r="A996" s="310" t="s">
        <v>1364</v>
      </c>
      <c r="B996" s="310" t="s">
        <v>1371</v>
      </c>
      <c r="C996" s="309">
        <v>42430</v>
      </c>
      <c r="D996" s="308" t="s">
        <v>2728</v>
      </c>
      <c r="E996" s="307">
        <v>1</v>
      </c>
      <c r="F996" s="311">
        <v>650</v>
      </c>
      <c r="G996" s="306">
        <f>68+(4)</f>
        <v>72</v>
      </c>
      <c r="I996" s="305"/>
    </row>
    <row r="997" spans="1:9" x14ac:dyDescent="0.2">
      <c r="A997" s="310" t="s">
        <v>1362</v>
      </c>
      <c r="B997" s="310" t="s">
        <v>1365</v>
      </c>
      <c r="C997" s="309">
        <v>42058</v>
      </c>
      <c r="D997" s="308" t="s">
        <v>1617</v>
      </c>
      <c r="E997" s="307">
        <v>1</v>
      </c>
      <c r="F997" s="311">
        <v>400</v>
      </c>
      <c r="G997" s="303">
        <f>84-(12)</f>
        <v>72</v>
      </c>
      <c r="I997" s="305"/>
    </row>
    <row r="998" spans="1:9" x14ac:dyDescent="0.2">
      <c r="A998" s="310" t="s">
        <v>1362</v>
      </c>
      <c r="B998" s="310" t="s">
        <v>1365</v>
      </c>
      <c r="C998" s="309">
        <v>42268</v>
      </c>
      <c r="D998" s="308" t="s">
        <v>1580</v>
      </c>
      <c r="E998" s="307">
        <v>1</v>
      </c>
      <c r="F998" s="311">
        <v>400</v>
      </c>
      <c r="G998" s="303">
        <f>84-(12)</f>
        <v>72</v>
      </c>
      <c r="I998" s="305"/>
    </row>
    <row r="999" spans="1:9" x14ac:dyDescent="0.2">
      <c r="A999" s="310" t="s">
        <v>1362</v>
      </c>
      <c r="B999" s="310" t="s">
        <v>1365</v>
      </c>
      <c r="C999" s="309">
        <v>42592</v>
      </c>
      <c r="D999" s="308" t="s">
        <v>2843</v>
      </c>
      <c r="E999" s="307">
        <v>1</v>
      </c>
      <c r="F999" s="311">
        <v>400</v>
      </c>
      <c r="G999" s="303">
        <f>84-(12)</f>
        <v>72</v>
      </c>
      <c r="H999" s="305"/>
      <c r="I999" s="305"/>
    </row>
    <row r="1000" spans="1:9" x14ac:dyDescent="0.2">
      <c r="A1000" s="310" t="s">
        <v>1362</v>
      </c>
      <c r="B1000" s="310" t="s">
        <v>1365</v>
      </c>
      <c r="C1000" s="309">
        <v>42592</v>
      </c>
      <c r="D1000" s="308" t="s">
        <v>2828</v>
      </c>
      <c r="E1000" s="307">
        <v>1</v>
      </c>
      <c r="F1000" s="311">
        <v>400</v>
      </c>
      <c r="G1000" s="303">
        <f>84-(12)</f>
        <v>72</v>
      </c>
      <c r="I1000" s="305"/>
    </row>
    <row r="1001" spans="1:9" x14ac:dyDescent="0.2">
      <c r="A1001" s="310" t="s">
        <v>1362</v>
      </c>
      <c r="B1001" s="310" t="s">
        <v>1365</v>
      </c>
      <c r="C1001" s="309">
        <v>42592</v>
      </c>
      <c r="D1001" s="308" t="s">
        <v>2833</v>
      </c>
      <c r="E1001" s="307">
        <v>1</v>
      </c>
      <c r="F1001" s="311">
        <v>400</v>
      </c>
      <c r="G1001" s="303">
        <f>84-(12)</f>
        <v>72</v>
      </c>
      <c r="H1001" s="305"/>
      <c r="I1001" s="305"/>
    </row>
    <row r="1002" spans="1:9" x14ac:dyDescent="0.2">
      <c r="A1002" s="310" t="s">
        <v>1360</v>
      </c>
      <c r="B1002" s="310" t="s">
        <v>1371</v>
      </c>
      <c r="C1002" s="309">
        <v>42022</v>
      </c>
      <c r="D1002" s="308" t="s">
        <v>1560</v>
      </c>
      <c r="E1002" s="307">
        <v>1</v>
      </c>
      <c r="F1002" s="311">
        <v>250</v>
      </c>
      <c r="G1002" s="306">
        <f>68+(4)</f>
        <v>72</v>
      </c>
      <c r="I1002" s="305"/>
    </row>
    <row r="1003" spans="1:9" x14ac:dyDescent="0.2">
      <c r="A1003" s="310" t="s">
        <v>1360</v>
      </c>
      <c r="B1003" s="310" t="s">
        <v>1371</v>
      </c>
      <c r="C1003" s="309">
        <v>42504</v>
      </c>
      <c r="D1003" s="308" t="s">
        <v>2314</v>
      </c>
      <c r="E1003" s="307">
        <v>1</v>
      </c>
      <c r="F1003" s="311">
        <v>275</v>
      </c>
      <c r="G1003" s="306">
        <f>68+(4)</f>
        <v>72</v>
      </c>
      <c r="I1003" s="305"/>
    </row>
    <row r="1004" spans="1:9" x14ac:dyDescent="0.2">
      <c r="A1004" s="310" t="s">
        <v>1359</v>
      </c>
      <c r="B1004" s="310" t="s">
        <v>1363</v>
      </c>
      <c r="C1004" s="309">
        <v>42424</v>
      </c>
      <c r="D1004" s="308" t="s">
        <v>2948</v>
      </c>
      <c r="E1004" s="307">
        <v>1</v>
      </c>
      <c r="F1004" s="311">
        <v>400</v>
      </c>
      <c r="G1004" s="307">
        <v>72</v>
      </c>
      <c r="I1004" s="305"/>
    </row>
    <row r="1005" spans="1:9" x14ac:dyDescent="0.2">
      <c r="A1005" s="310" t="s">
        <v>1359</v>
      </c>
      <c r="B1005" s="310" t="s">
        <v>1363</v>
      </c>
      <c r="C1005" s="309">
        <v>42424</v>
      </c>
      <c r="D1005" s="308" t="s">
        <v>2984</v>
      </c>
      <c r="E1005" s="307">
        <v>1</v>
      </c>
      <c r="F1005" s="311">
        <v>400</v>
      </c>
      <c r="G1005" s="307">
        <v>72</v>
      </c>
      <c r="H1005" s="305"/>
      <c r="I1005" s="305"/>
    </row>
    <row r="1006" spans="1:9" x14ac:dyDescent="0.2">
      <c r="A1006" s="310" t="s">
        <v>1358</v>
      </c>
      <c r="B1006" s="310" t="s">
        <v>1375</v>
      </c>
      <c r="C1006" s="309">
        <v>42037</v>
      </c>
      <c r="D1006" s="308" t="s">
        <v>1459</v>
      </c>
      <c r="E1006" s="307">
        <v>1</v>
      </c>
      <c r="F1006" s="311">
        <v>300</v>
      </c>
      <c r="G1006" s="307">
        <v>72</v>
      </c>
      <c r="H1006" s="305"/>
      <c r="I1006" s="305"/>
    </row>
    <row r="1007" spans="1:9" x14ac:dyDescent="0.2">
      <c r="A1007" s="310" t="s">
        <v>1319</v>
      </c>
      <c r="B1007" s="310" t="s">
        <v>1361</v>
      </c>
      <c r="C1007" s="309">
        <v>42019</v>
      </c>
      <c r="D1007" s="308" t="s">
        <v>1836</v>
      </c>
      <c r="E1007" s="307">
        <v>1</v>
      </c>
      <c r="F1007" s="311">
        <v>100</v>
      </c>
      <c r="G1007" s="303">
        <f>78-(5)</f>
        <v>73</v>
      </c>
      <c r="H1007" s="305"/>
      <c r="I1007" s="305"/>
    </row>
    <row r="1008" spans="1:9" x14ac:dyDescent="0.2">
      <c r="A1008" s="310" t="s">
        <v>1319</v>
      </c>
      <c r="B1008" s="310" t="s">
        <v>1361</v>
      </c>
      <c r="C1008" s="309">
        <v>42019</v>
      </c>
      <c r="D1008" s="308" t="s">
        <v>1924</v>
      </c>
      <c r="E1008" s="307">
        <v>1</v>
      </c>
      <c r="F1008" s="311">
        <v>100</v>
      </c>
      <c r="G1008" s="303">
        <f>78-(5)</f>
        <v>73</v>
      </c>
      <c r="I1008" s="305"/>
    </row>
    <row r="1009" spans="1:9" x14ac:dyDescent="0.2">
      <c r="A1009" s="310" t="s">
        <v>1319</v>
      </c>
      <c r="B1009" s="310" t="s">
        <v>1373</v>
      </c>
      <c r="C1009" s="309">
        <v>42084</v>
      </c>
      <c r="D1009" s="308" t="s">
        <v>1826</v>
      </c>
      <c r="E1009" s="307">
        <v>1</v>
      </c>
      <c r="F1009" s="311">
        <v>100</v>
      </c>
      <c r="G1009" s="306">
        <f>80-(7)</f>
        <v>73</v>
      </c>
      <c r="I1009" s="305"/>
    </row>
    <row r="1010" spans="1:9" x14ac:dyDescent="0.2">
      <c r="A1010" s="310" t="s">
        <v>1319</v>
      </c>
      <c r="B1010" s="310" t="s">
        <v>1371</v>
      </c>
      <c r="C1010" s="309">
        <v>42258</v>
      </c>
      <c r="D1010" s="308" t="s">
        <v>2003</v>
      </c>
      <c r="E1010" s="307">
        <v>1</v>
      </c>
      <c r="F1010" s="311">
        <v>100</v>
      </c>
      <c r="G1010" s="306">
        <f>69+(4)</f>
        <v>73</v>
      </c>
      <c r="H1010" s="305"/>
      <c r="I1010" s="305"/>
    </row>
    <row r="1011" spans="1:9" x14ac:dyDescent="0.2">
      <c r="A1011" s="310" t="s">
        <v>1319</v>
      </c>
      <c r="B1011" s="310" t="s">
        <v>1373</v>
      </c>
      <c r="C1011" s="309">
        <v>42415</v>
      </c>
      <c r="D1011" s="308" t="s">
        <v>2051</v>
      </c>
      <c r="E1011" s="307">
        <v>1</v>
      </c>
      <c r="F1011" s="311">
        <v>120</v>
      </c>
      <c r="G1011" s="306">
        <f>80-(7)</f>
        <v>73</v>
      </c>
      <c r="H1011" s="305"/>
      <c r="I1011" s="305"/>
    </row>
    <row r="1012" spans="1:9" x14ac:dyDescent="0.2">
      <c r="A1012" s="310" t="s">
        <v>1313</v>
      </c>
      <c r="B1012" s="310" t="s">
        <v>1361</v>
      </c>
      <c r="C1012" s="309">
        <v>42177</v>
      </c>
      <c r="D1012" s="308" t="s">
        <v>1976</v>
      </c>
      <c r="E1012" s="307">
        <v>1</v>
      </c>
      <c r="F1012" s="311">
        <v>200</v>
      </c>
      <c r="G1012" s="303">
        <f>78-(5)</f>
        <v>73</v>
      </c>
      <c r="I1012" s="305"/>
    </row>
    <row r="1013" spans="1:9" x14ac:dyDescent="0.2">
      <c r="A1013" s="310" t="s">
        <v>1313</v>
      </c>
      <c r="B1013" s="310" t="s">
        <v>1373</v>
      </c>
      <c r="C1013" s="309">
        <v>42384</v>
      </c>
      <c r="D1013" s="308" t="s">
        <v>2182</v>
      </c>
      <c r="E1013" s="307">
        <v>1</v>
      </c>
      <c r="F1013" s="311">
        <v>210</v>
      </c>
      <c r="G1013" s="306">
        <f>80-(7)</f>
        <v>73</v>
      </c>
      <c r="I1013" s="305"/>
    </row>
    <row r="1014" spans="1:9" x14ac:dyDescent="0.2">
      <c r="A1014" s="310" t="s">
        <v>1374</v>
      </c>
      <c r="B1014" s="310" t="s">
        <v>1369</v>
      </c>
      <c r="C1014" s="309">
        <v>42227</v>
      </c>
      <c r="D1014" s="308" t="s">
        <v>1516</v>
      </c>
      <c r="E1014" s="307">
        <v>1</v>
      </c>
      <c r="F1014" s="311">
        <v>300</v>
      </c>
      <c r="G1014" s="307">
        <v>73</v>
      </c>
      <c r="I1014" s="305"/>
    </row>
    <row r="1015" spans="1:9" x14ac:dyDescent="0.2">
      <c r="A1015" s="310" t="s">
        <v>1374</v>
      </c>
      <c r="B1015" s="310" t="s">
        <v>1369</v>
      </c>
      <c r="C1015" s="309">
        <v>42227</v>
      </c>
      <c r="D1015" s="308" t="s">
        <v>1416</v>
      </c>
      <c r="E1015" s="307">
        <v>1</v>
      </c>
      <c r="F1015" s="311">
        <v>300</v>
      </c>
      <c r="G1015" s="307">
        <v>73</v>
      </c>
      <c r="H1015" s="305"/>
      <c r="I1015" s="305"/>
    </row>
    <row r="1016" spans="1:9" x14ac:dyDescent="0.2">
      <c r="A1016" s="310" t="s">
        <v>1372</v>
      </c>
      <c r="B1016" s="310" t="s">
        <v>1365</v>
      </c>
      <c r="C1016" s="309">
        <v>42056</v>
      </c>
      <c r="D1016" s="308" t="s">
        <v>1876</v>
      </c>
      <c r="E1016" s="307">
        <v>1</v>
      </c>
      <c r="F1016" s="311">
        <v>300</v>
      </c>
      <c r="G1016" s="303">
        <f>85-(12)</f>
        <v>73</v>
      </c>
      <c r="H1016" s="305"/>
      <c r="I1016" s="305"/>
    </row>
    <row r="1017" spans="1:9" x14ac:dyDescent="0.2">
      <c r="A1017" s="310" t="s">
        <v>1370</v>
      </c>
      <c r="B1017" s="310" t="s">
        <v>1361</v>
      </c>
      <c r="C1017" s="309">
        <v>42139</v>
      </c>
      <c r="D1017" s="308" t="s">
        <v>1741</v>
      </c>
      <c r="E1017" s="307">
        <v>1</v>
      </c>
      <c r="F1017" s="311">
        <v>500</v>
      </c>
      <c r="G1017" s="303">
        <f>78-(5)</f>
        <v>73</v>
      </c>
      <c r="I1017" s="305"/>
    </row>
    <row r="1018" spans="1:9" x14ac:dyDescent="0.2">
      <c r="A1018" s="310" t="s">
        <v>1370</v>
      </c>
      <c r="B1018" s="310" t="s">
        <v>1361</v>
      </c>
      <c r="C1018" s="309">
        <v>42447</v>
      </c>
      <c r="D1018" s="308" t="s">
        <v>2395</v>
      </c>
      <c r="E1018" s="307">
        <v>1</v>
      </c>
      <c r="F1018" s="311">
        <v>500</v>
      </c>
      <c r="G1018" s="303">
        <f>78-(5)</f>
        <v>73</v>
      </c>
      <c r="H1018" s="305"/>
      <c r="I1018" s="305"/>
    </row>
    <row r="1019" spans="1:9" x14ac:dyDescent="0.2">
      <c r="A1019" s="310" t="s">
        <v>1370</v>
      </c>
      <c r="B1019" s="310" t="s">
        <v>1373</v>
      </c>
      <c r="C1019" s="309">
        <v>42658</v>
      </c>
      <c r="D1019" s="308" t="s">
        <v>2349</v>
      </c>
      <c r="E1019" s="307">
        <v>1</v>
      </c>
      <c r="F1019" s="311">
        <v>500</v>
      </c>
      <c r="G1019" s="306">
        <f>80-(7)</f>
        <v>73</v>
      </c>
      <c r="H1019" s="305"/>
      <c r="I1019" s="305"/>
    </row>
    <row r="1020" spans="1:9" x14ac:dyDescent="0.2">
      <c r="A1020" s="310" t="s">
        <v>1370</v>
      </c>
      <c r="B1020" s="310" t="s">
        <v>1373</v>
      </c>
      <c r="C1020" s="309">
        <v>42658</v>
      </c>
      <c r="D1020" s="308" t="s">
        <v>2337</v>
      </c>
      <c r="E1020" s="307">
        <v>1</v>
      </c>
      <c r="F1020" s="311">
        <v>500</v>
      </c>
      <c r="G1020" s="306">
        <f>80-(7)</f>
        <v>73</v>
      </c>
      <c r="H1020" s="305"/>
      <c r="I1020" s="305"/>
    </row>
    <row r="1021" spans="1:9" x14ac:dyDescent="0.2">
      <c r="A1021" s="310" t="s">
        <v>1368</v>
      </c>
      <c r="B1021" s="310" t="s">
        <v>1367</v>
      </c>
      <c r="C1021" s="309">
        <v>42068</v>
      </c>
      <c r="D1021" s="308" t="s">
        <v>1555</v>
      </c>
      <c r="E1021" s="307">
        <v>1</v>
      </c>
      <c r="F1021" s="311">
        <v>200</v>
      </c>
      <c r="G1021" s="306">
        <v>73</v>
      </c>
      <c r="I1021" s="305"/>
    </row>
    <row r="1022" spans="1:9" x14ac:dyDescent="0.2">
      <c r="A1022" s="310" t="s">
        <v>1368</v>
      </c>
      <c r="B1022" s="310" t="s">
        <v>1367</v>
      </c>
      <c r="C1022" s="309">
        <v>42170</v>
      </c>
      <c r="D1022" s="308" t="s">
        <v>1658</v>
      </c>
      <c r="E1022" s="307">
        <v>1</v>
      </c>
      <c r="F1022" s="311">
        <v>200</v>
      </c>
      <c r="G1022" s="306">
        <v>73</v>
      </c>
      <c r="I1022" s="305"/>
    </row>
    <row r="1023" spans="1:9" x14ac:dyDescent="0.2">
      <c r="A1023" s="310" t="s">
        <v>1368</v>
      </c>
      <c r="B1023" s="310" t="s">
        <v>1367</v>
      </c>
      <c r="C1023" s="309">
        <v>42170</v>
      </c>
      <c r="D1023" s="308" t="s">
        <v>1801</v>
      </c>
      <c r="E1023" s="307">
        <v>1</v>
      </c>
      <c r="F1023" s="311">
        <v>200</v>
      </c>
      <c r="G1023" s="306">
        <v>73</v>
      </c>
      <c r="I1023" s="305"/>
    </row>
    <row r="1024" spans="1:9" x14ac:dyDescent="0.2">
      <c r="A1024" s="310" t="s">
        <v>1368</v>
      </c>
      <c r="B1024" s="310" t="s">
        <v>1367</v>
      </c>
      <c r="C1024" s="309">
        <v>42170</v>
      </c>
      <c r="D1024" s="308" t="s">
        <v>1797</v>
      </c>
      <c r="E1024" s="307">
        <v>1</v>
      </c>
      <c r="F1024" s="311">
        <v>200</v>
      </c>
      <c r="G1024" s="306">
        <v>73</v>
      </c>
      <c r="I1024" s="305"/>
    </row>
    <row r="1025" spans="1:9" x14ac:dyDescent="0.2">
      <c r="A1025" s="310" t="s">
        <v>1368</v>
      </c>
      <c r="B1025" s="310" t="s">
        <v>1367</v>
      </c>
      <c r="C1025" s="309">
        <v>42170</v>
      </c>
      <c r="D1025" s="308" t="s">
        <v>1796</v>
      </c>
      <c r="E1025" s="307">
        <v>1</v>
      </c>
      <c r="F1025" s="311">
        <v>200</v>
      </c>
      <c r="G1025" s="306">
        <v>73</v>
      </c>
      <c r="I1025" s="305"/>
    </row>
    <row r="1026" spans="1:9" x14ac:dyDescent="0.2">
      <c r="A1026" s="310" t="s">
        <v>1368</v>
      </c>
      <c r="B1026" s="310" t="s">
        <v>1367</v>
      </c>
      <c r="C1026" s="309">
        <v>42282</v>
      </c>
      <c r="D1026" s="308" t="s">
        <v>1753</v>
      </c>
      <c r="E1026" s="307">
        <v>1</v>
      </c>
      <c r="F1026" s="311">
        <v>200</v>
      </c>
      <c r="G1026" s="306">
        <v>73</v>
      </c>
      <c r="I1026" s="305"/>
    </row>
    <row r="1027" spans="1:9" x14ac:dyDescent="0.2">
      <c r="A1027" s="310" t="s">
        <v>1368</v>
      </c>
      <c r="B1027" s="310" t="s">
        <v>1371</v>
      </c>
      <c r="C1027" s="309">
        <v>42340</v>
      </c>
      <c r="D1027" s="308" t="s">
        <v>1854</v>
      </c>
      <c r="E1027" s="307">
        <v>1</v>
      </c>
      <c r="F1027" s="311">
        <v>200</v>
      </c>
      <c r="G1027" s="306">
        <f>69+(4)</f>
        <v>73</v>
      </c>
      <c r="I1027" s="305"/>
    </row>
    <row r="1028" spans="1:9" x14ac:dyDescent="0.2">
      <c r="A1028" s="310" t="s">
        <v>1368</v>
      </c>
      <c r="B1028" s="310" t="s">
        <v>1367</v>
      </c>
      <c r="C1028" s="309">
        <v>42485</v>
      </c>
      <c r="D1028" s="308" t="s">
        <v>2511</v>
      </c>
      <c r="E1028" s="307">
        <v>1</v>
      </c>
      <c r="F1028" s="311">
        <v>200</v>
      </c>
      <c r="G1028" s="306">
        <v>73</v>
      </c>
      <c r="H1028" s="305"/>
      <c r="I1028" s="305"/>
    </row>
    <row r="1029" spans="1:9" x14ac:dyDescent="0.2">
      <c r="A1029" s="310" t="s">
        <v>1368</v>
      </c>
      <c r="B1029" s="310" t="s">
        <v>1367</v>
      </c>
      <c r="C1029" s="309">
        <v>42485</v>
      </c>
      <c r="D1029" s="308" t="s">
        <v>2507</v>
      </c>
      <c r="E1029" s="307">
        <v>1</v>
      </c>
      <c r="F1029" s="311">
        <v>200</v>
      </c>
      <c r="G1029" s="306">
        <v>73</v>
      </c>
      <c r="H1029" s="305"/>
      <c r="I1029" s="305"/>
    </row>
    <row r="1030" spans="1:9" x14ac:dyDescent="0.2">
      <c r="A1030" s="310" t="s">
        <v>1368</v>
      </c>
      <c r="B1030" s="310" t="s">
        <v>1367</v>
      </c>
      <c r="C1030" s="309">
        <v>42545</v>
      </c>
      <c r="D1030" s="308" t="s">
        <v>2569</v>
      </c>
      <c r="E1030" s="307">
        <v>1</v>
      </c>
      <c r="F1030" s="311">
        <v>200</v>
      </c>
      <c r="G1030" s="306">
        <v>73</v>
      </c>
      <c r="I1030" s="305"/>
    </row>
    <row r="1031" spans="1:9" x14ac:dyDescent="0.2">
      <c r="A1031" s="310" t="s">
        <v>1368</v>
      </c>
      <c r="B1031" s="310" t="s">
        <v>1367</v>
      </c>
      <c r="C1031" s="309">
        <v>42563</v>
      </c>
      <c r="D1031" s="308" t="s">
        <v>2607</v>
      </c>
      <c r="E1031" s="307">
        <v>1</v>
      </c>
      <c r="F1031" s="311">
        <v>200</v>
      </c>
      <c r="G1031" s="306">
        <v>73</v>
      </c>
      <c r="I1031" s="305"/>
    </row>
    <row r="1032" spans="1:9" x14ac:dyDescent="0.2">
      <c r="A1032" s="310" t="s">
        <v>1368</v>
      </c>
      <c r="B1032" s="310" t="s">
        <v>1367</v>
      </c>
      <c r="C1032" s="309">
        <v>42563</v>
      </c>
      <c r="D1032" s="308" t="s">
        <v>2599</v>
      </c>
      <c r="E1032" s="307">
        <v>1</v>
      </c>
      <c r="F1032" s="311">
        <v>200</v>
      </c>
      <c r="G1032" s="306">
        <v>73</v>
      </c>
      <c r="I1032" s="305"/>
    </row>
    <row r="1033" spans="1:9" x14ac:dyDescent="0.2">
      <c r="A1033" s="310" t="s">
        <v>1368</v>
      </c>
      <c r="B1033" s="310" t="s">
        <v>1367</v>
      </c>
      <c r="C1033" s="309">
        <v>42593</v>
      </c>
      <c r="D1033" s="308" t="s">
        <v>2616</v>
      </c>
      <c r="E1033" s="307">
        <v>1</v>
      </c>
      <c r="F1033" s="311">
        <v>200</v>
      </c>
      <c r="G1033" s="306">
        <v>73</v>
      </c>
      <c r="I1033" s="305"/>
    </row>
    <row r="1034" spans="1:9" x14ac:dyDescent="0.2">
      <c r="A1034" s="310" t="s">
        <v>1366</v>
      </c>
      <c r="B1034" s="310" t="s">
        <v>1376</v>
      </c>
      <c r="C1034" s="309">
        <v>42053</v>
      </c>
      <c r="D1034" s="308" t="s">
        <v>1750</v>
      </c>
      <c r="E1034" s="307">
        <v>1</v>
      </c>
      <c r="F1034" s="311">
        <v>350</v>
      </c>
      <c r="G1034" s="306">
        <v>73</v>
      </c>
      <c r="I1034" s="305"/>
    </row>
    <row r="1035" spans="1:9" x14ac:dyDescent="0.2">
      <c r="A1035" s="310" t="s">
        <v>1366</v>
      </c>
      <c r="B1035" s="310" t="s">
        <v>1376</v>
      </c>
      <c r="C1035" s="309">
        <v>42259</v>
      </c>
      <c r="D1035" s="308" t="s">
        <v>1683</v>
      </c>
      <c r="E1035" s="307">
        <v>1</v>
      </c>
      <c r="F1035" s="311">
        <v>350</v>
      </c>
      <c r="G1035" s="306">
        <v>73</v>
      </c>
      <c r="I1035" s="305"/>
    </row>
    <row r="1036" spans="1:9" x14ac:dyDescent="0.2">
      <c r="A1036" s="310" t="s">
        <v>1366</v>
      </c>
      <c r="B1036" s="310" t="s">
        <v>1376</v>
      </c>
      <c r="C1036" s="309">
        <v>42562</v>
      </c>
      <c r="D1036" s="308" t="s">
        <v>2674</v>
      </c>
      <c r="E1036" s="307">
        <v>1</v>
      </c>
      <c r="F1036" s="311">
        <v>380</v>
      </c>
      <c r="G1036" s="306">
        <v>73</v>
      </c>
      <c r="I1036" s="305"/>
    </row>
    <row r="1037" spans="1:9" x14ac:dyDescent="0.2">
      <c r="A1037" s="310" t="s">
        <v>1364</v>
      </c>
      <c r="B1037" s="310" t="s">
        <v>1367</v>
      </c>
      <c r="C1037" s="309">
        <v>42091</v>
      </c>
      <c r="D1037" s="308" t="s">
        <v>1669</v>
      </c>
      <c r="E1037" s="307">
        <v>1</v>
      </c>
      <c r="F1037" s="311">
        <v>600</v>
      </c>
      <c r="G1037" s="306">
        <v>73</v>
      </c>
      <c r="I1037" s="305"/>
    </row>
    <row r="1038" spans="1:9" x14ac:dyDescent="0.2">
      <c r="A1038" s="310" t="s">
        <v>1364</v>
      </c>
      <c r="B1038" s="310" t="s">
        <v>1371</v>
      </c>
      <c r="C1038" s="309">
        <v>42265</v>
      </c>
      <c r="D1038" s="308" t="s">
        <v>1577</v>
      </c>
      <c r="E1038" s="307">
        <v>1</v>
      </c>
      <c r="F1038" s="311">
        <v>600</v>
      </c>
      <c r="G1038" s="306">
        <f>69+(4)</f>
        <v>73</v>
      </c>
      <c r="I1038" s="305"/>
    </row>
    <row r="1039" spans="1:9" x14ac:dyDescent="0.2">
      <c r="A1039" s="310" t="s">
        <v>1362</v>
      </c>
      <c r="B1039" s="310" t="s">
        <v>1365</v>
      </c>
      <c r="C1039" s="309">
        <v>42058</v>
      </c>
      <c r="D1039" s="308" t="s">
        <v>1636</v>
      </c>
      <c r="E1039" s="307">
        <v>1</v>
      </c>
      <c r="F1039" s="311">
        <v>400</v>
      </c>
      <c r="G1039" s="303">
        <f>85-(12)</f>
        <v>73</v>
      </c>
      <c r="H1039" s="305"/>
      <c r="I1039" s="305"/>
    </row>
    <row r="1040" spans="1:9" x14ac:dyDescent="0.2">
      <c r="A1040" s="310" t="s">
        <v>1362</v>
      </c>
      <c r="B1040" s="310" t="s">
        <v>1365</v>
      </c>
      <c r="C1040" s="309">
        <v>42058</v>
      </c>
      <c r="D1040" s="308" t="s">
        <v>1632</v>
      </c>
      <c r="E1040" s="307">
        <v>1</v>
      </c>
      <c r="F1040" s="311">
        <v>400</v>
      </c>
      <c r="G1040" s="303">
        <f>85-(12)</f>
        <v>73</v>
      </c>
      <c r="I1040" s="305"/>
    </row>
    <row r="1041" spans="1:9" x14ac:dyDescent="0.2">
      <c r="A1041" s="310" t="s">
        <v>1362</v>
      </c>
      <c r="B1041" s="310" t="s">
        <v>1365</v>
      </c>
      <c r="C1041" s="309">
        <v>42127</v>
      </c>
      <c r="D1041" s="308" t="s">
        <v>1594</v>
      </c>
      <c r="E1041" s="307">
        <v>1</v>
      </c>
      <c r="F1041" s="311">
        <v>400</v>
      </c>
      <c r="G1041" s="303">
        <f>85-(12)</f>
        <v>73</v>
      </c>
      <c r="I1041" s="305"/>
    </row>
    <row r="1042" spans="1:9" x14ac:dyDescent="0.2">
      <c r="A1042" s="310" t="s">
        <v>1362</v>
      </c>
      <c r="B1042" s="310" t="s">
        <v>1365</v>
      </c>
      <c r="C1042" s="309">
        <v>42654</v>
      </c>
      <c r="D1042" s="308" t="s">
        <v>2899</v>
      </c>
      <c r="E1042" s="307">
        <v>1</v>
      </c>
      <c r="F1042" s="311">
        <v>400</v>
      </c>
      <c r="G1042" s="303">
        <f>85-(12)</f>
        <v>73</v>
      </c>
      <c r="I1042" s="305"/>
    </row>
    <row r="1043" spans="1:9" x14ac:dyDescent="0.2">
      <c r="A1043" s="310" t="s">
        <v>1360</v>
      </c>
      <c r="B1043" s="310" t="s">
        <v>1371</v>
      </c>
      <c r="C1043" s="309">
        <v>42022</v>
      </c>
      <c r="D1043" s="308" t="s">
        <v>1557</v>
      </c>
      <c r="E1043" s="307">
        <v>1</v>
      </c>
      <c r="F1043" s="311">
        <v>250</v>
      </c>
      <c r="G1043" s="306">
        <f>69+(4)</f>
        <v>73</v>
      </c>
      <c r="I1043" s="305"/>
    </row>
    <row r="1044" spans="1:9" x14ac:dyDescent="0.2">
      <c r="A1044" s="310" t="s">
        <v>1359</v>
      </c>
      <c r="B1044" s="310" t="s">
        <v>1363</v>
      </c>
      <c r="C1044" s="309">
        <v>42064</v>
      </c>
      <c r="D1044" s="308" t="s">
        <v>1503</v>
      </c>
      <c r="E1044" s="307">
        <v>1</v>
      </c>
      <c r="F1044" s="311">
        <v>400</v>
      </c>
      <c r="G1044" s="307">
        <v>73</v>
      </c>
      <c r="I1044" s="305"/>
    </row>
    <row r="1045" spans="1:9" x14ac:dyDescent="0.2">
      <c r="A1045" s="310" t="s">
        <v>1359</v>
      </c>
      <c r="B1045" s="310" t="s">
        <v>1363</v>
      </c>
      <c r="C1045" s="309">
        <v>42424</v>
      </c>
      <c r="D1045" s="308" t="s">
        <v>2971</v>
      </c>
      <c r="E1045" s="307">
        <v>1</v>
      </c>
      <c r="F1045" s="311">
        <v>400</v>
      </c>
      <c r="G1045" s="307">
        <v>73</v>
      </c>
      <c r="I1045" s="305"/>
    </row>
    <row r="1046" spans="1:9" x14ac:dyDescent="0.2">
      <c r="A1046" s="310" t="s">
        <v>1358</v>
      </c>
      <c r="B1046" s="310" t="s">
        <v>1375</v>
      </c>
      <c r="C1046" s="309">
        <v>42037</v>
      </c>
      <c r="D1046" s="308" t="s">
        <v>1462</v>
      </c>
      <c r="E1046" s="307">
        <v>1</v>
      </c>
      <c r="F1046" s="311">
        <v>300</v>
      </c>
      <c r="G1046" s="307">
        <v>73</v>
      </c>
      <c r="I1046" s="305"/>
    </row>
    <row r="1047" spans="1:9" x14ac:dyDescent="0.2">
      <c r="A1047" s="310" t="s">
        <v>1358</v>
      </c>
      <c r="B1047" s="310" t="s">
        <v>1375</v>
      </c>
      <c r="C1047" s="309">
        <v>42289</v>
      </c>
      <c r="D1047" s="308" t="s">
        <v>1440</v>
      </c>
      <c r="E1047" s="307">
        <v>1</v>
      </c>
      <c r="F1047" s="311">
        <v>300</v>
      </c>
      <c r="G1047" s="307">
        <v>73</v>
      </c>
      <c r="I1047" s="305"/>
    </row>
    <row r="1048" spans="1:9" x14ac:dyDescent="0.2">
      <c r="A1048" s="310" t="s">
        <v>1358</v>
      </c>
      <c r="B1048" s="310" t="s">
        <v>1375</v>
      </c>
      <c r="C1048" s="309">
        <v>42289</v>
      </c>
      <c r="D1048" s="308" t="s">
        <v>1436</v>
      </c>
      <c r="E1048" s="307">
        <v>1</v>
      </c>
      <c r="F1048" s="311">
        <v>300</v>
      </c>
      <c r="G1048" s="307">
        <v>73</v>
      </c>
      <c r="I1048" s="305"/>
    </row>
    <row r="1049" spans="1:9" x14ac:dyDescent="0.2">
      <c r="A1049" s="310" t="s">
        <v>1358</v>
      </c>
      <c r="B1049" s="310" t="s">
        <v>1375</v>
      </c>
      <c r="C1049" s="309">
        <v>42544</v>
      </c>
      <c r="D1049" s="308" t="s">
        <v>3043</v>
      </c>
      <c r="E1049" s="307">
        <v>1</v>
      </c>
      <c r="F1049" s="311">
        <v>320</v>
      </c>
      <c r="G1049" s="307">
        <v>73</v>
      </c>
      <c r="I1049" s="305"/>
    </row>
    <row r="1050" spans="1:9" x14ac:dyDescent="0.2">
      <c r="A1050" s="310" t="s">
        <v>1319</v>
      </c>
      <c r="B1050" s="310" t="s">
        <v>1371</v>
      </c>
      <c r="C1050" s="309">
        <v>42258</v>
      </c>
      <c r="D1050" s="308" t="s">
        <v>1729</v>
      </c>
      <c r="E1050" s="307">
        <v>1</v>
      </c>
      <c r="F1050" s="311">
        <v>100</v>
      </c>
      <c r="G1050" s="306">
        <f>70+(4)</f>
        <v>74</v>
      </c>
      <c r="I1050" s="305"/>
    </row>
    <row r="1051" spans="1:9" x14ac:dyDescent="0.2">
      <c r="A1051" s="310" t="s">
        <v>1319</v>
      </c>
      <c r="B1051" s="310" t="s">
        <v>1367</v>
      </c>
      <c r="C1051" s="309">
        <v>42332</v>
      </c>
      <c r="D1051" s="308" t="s">
        <v>1584</v>
      </c>
      <c r="E1051" s="307">
        <v>1</v>
      </c>
      <c r="F1051" s="311">
        <v>100</v>
      </c>
      <c r="G1051" s="306">
        <v>74</v>
      </c>
      <c r="I1051" s="305"/>
    </row>
    <row r="1052" spans="1:9" x14ac:dyDescent="0.2">
      <c r="A1052" s="310" t="s">
        <v>1319</v>
      </c>
      <c r="B1052" s="310" t="s">
        <v>1371</v>
      </c>
      <c r="C1052" s="309">
        <v>42476</v>
      </c>
      <c r="D1052" s="308" t="s">
        <v>2087</v>
      </c>
      <c r="E1052" s="307">
        <v>1</v>
      </c>
      <c r="F1052" s="311">
        <v>120</v>
      </c>
      <c r="G1052" s="306">
        <f>70+(4)</f>
        <v>74</v>
      </c>
      <c r="H1052" s="305"/>
      <c r="I1052" s="305"/>
    </row>
    <row r="1053" spans="1:9" x14ac:dyDescent="0.2">
      <c r="A1053" s="310" t="s">
        <v>1319</v>
      </c>
      <c r="B1053" s="310" t="s">
        <v>1371</v>
      </c>
      <c r="C1053" s="309">
        <v>42476</v>
      </c>
      <c r="D1053" s="308" t="s">
        <v>2118</v>
      </c>
      <c r="E1053" s="307">
        <v>1</v>
      </c>
      <c r="F1053" s="311">
        <v>120</v>
      </c>
      <c r="G1053" s="306">
        <f>70+(4)</f>
        <v>74</v>
      </c>
      <c r="H1053" s="305"/>
      <c r="I1053" s="305"/>
    </row>
    <row r="1054" spans="1:9" x14ac:dyDescent="0.2">
      <c r="A1054" s="310" t="s">
        <v>1319</v>
      </c>
      <c r="B1054" s="310" t="s">
        <v>1371</v>
      </c>
      <c r="C1054" s="309">
        <v>42476</v>
      </c>
      <c r="D1054" s="308" t="s">
        <v>2142</v>
      </c>
      <c r="E1054" s="307">
        <v>1</v>
      </c>
      <c r="F1054" s="311">
        <v>120</v>
      </c>
      <c r="G1054" s="306">
        <f>70+(4)</f>
        <v>74</v>
      </c>
      <c r="H1054" s="305"/>
      <c r="I1054" s="305"/>
    </row>
    <row r="1055" spans="1:9" x14ac:dyDescent="0.2">
      <c r="A1055" s="310" t="s">
        <v>1313</v>
      </c>
      <c r="B1055" s="310" t="s">
        <v>1361</v>
      </c>
      <c r="C1055" s="309">
        <v>42177</v>
      </c>
      <c r="D1055" s="308" t="s">
        <v>1524</v>
      </c>
      <c r="E1055" s="307">
        <v>1</v>
      </c>
      <c r="F1055" s="311">
        <v>200</v>
      </c>
      <c r="G1055" s="303">
        <f>79-(5)</f>
        <v>74</v>
      </c>
      <c r="H1055" s="305"/>
      <c r="I1055" s="305"/>
    </row>
    <row r="1056" spans="1:9" x14ac:dyDescent="0.2">
      <c r="A1056" s="310" t="s">
        <v>1372</v>
      </c>
      <c r="B1056" s="310" t="s">
        <v>1363</v>
      </c>
      <c r="C1056" s="309">
        <v>42271</v>
      </c>
      <c r="D1056" s="308" t="s">
        <v>1507</v>
      </c>
      <c r="E1056" s="307">
        <v>1</v>
      </c>
      <c r="F1056" s="311">
        <v>300</v>
      </c>
      <c r="G1056" s="307">
        <v>74</v>
      </c>
      <c r="I1056" s="305"/>
    </row>
    <row r="1057" spans="1:9" x14ac:dyDescent="0.2">
      <c r="A1057" s="310" t="s">
        <v>1372</v>
      </c>
      <c r="B1057" s="310" t="s">
        <v>1365</v>
      </c>
      <c r="C1057" s="309">
        <v>42488</v>
      </c>
      <c r="D1057" s="308" t="s">
        <v>2273</v>
      </c>
      <c r="E1057" s="307">
        <v>1</v>
      </c>
      <c r="F1057" s="311">
        <v>310</v>
      </c>
      <c r="G1057" s="303">
        <f>86-(12)</f>
        <v>74</v>
      </c>
      <c r="H1057" s="305"/>
      <c r="I1057" s="305"/>
    </row>
    <row r="1058" spans="1:9" x14ac:dyDescent="0.2">
      <c r="A1058" s="310" t="s">
        <v>1372</v>
      </c>
      <c r="B1058" s="310" t="s">
        <v>1363</v>
      </c>
      <c r="C1058" s="309">
        <v>42685</v>
      </c>
      <c r="D1058" s="308" t="s">
        <v>2278</v>
      </c>
      <c r="E1058" s="307">
        <v>1</v>
      </c>
      <c r="F1058" s="311">
        <v>310</v>
      </c>
      <c r="G1058" s="307">
        <v>74</v>
      </c>
      <c r="H1058" s="305"/>
      <c r="I1058" s="305"/>
    </row>
    <row r="1059" spans="1:9" x14ac:dyDescent="0.2">
      <c r="A1059" s="310" t="s">
        <v>1370</v>
      </c>
      <c r="B1059" s="310" t="s">
        <v>1361</v>
      </c>
      <c r="C1059" s="309">
        <v>42139</v>
      </c>
      <c r="D1059" s="308" t="s">
        <v>1434</v>
      </c>
      <c r="E1059" s="307">
        <v>1</v>
      </c>
      <c r="F1059" s="311">
        <v>500</v>
      </c>
      <c r="G1059" s="303">
        <f>79-(5)</f>
        <v>74</v>
      </c>
      <c r="H1059" s="305"/>
      <c r="I1059" s="305"/>
    </row>
    <row r="1060" spans="1:9" x14ac:dyDescent="0.2">
      <c r="A1060" s="310" t="s">
        <v>1370</v>
      </c>
      <c r="B1060" s="310" t="s">
        <v>1361</v>
      </c>
      <c r="C1060" s="309">
        <v>42447</v>
      </c>
      <c r="D1060" s="308" t="s">
        <v>2380</v>
      </c>
      <c r="E1060" s="307">
        <v>1</v>
      </c>
      <c r="F1060" s="311">
        <v>500</v>
      </c>
      <c r="G1060" s="303">
        <f>79-(5)</f>
        <v>74</v>
      </c>
      <c r="H1060" s="305"/>
      <c r="I1060" s="305"/>
    </row>
    <row r="1061" spans="1:9" x14ac:dyDescent="0.2">
      <c r="A1061" s="310" t="s">
        <v>1370</v>
      </c>
      <c r="B1061" s="310" t="s">
        <v>1373</v>
      </c>
      <c r="C1061" s="309">
        <v>42658</v>
      </c>
      <c r="D1061" s="308" t="s">
        <v>2352</v>
      </c>
      <c r="E1061" s="307">
        <v>1</v>
      </c>
      <c r="F1061" s="311">
        <v>500</v>
      </c>
      <c r="G1061" s="306">
        <f>81-(7)</f>
        <v>74</v>
      </c>
      <c r="I1061" s="305"/>
    </row>
    <row r="1062" spans="1:9" x14ac:dyDescent="0.2">
      <c r="A1062" s="310" t="s">
        <v>1370</v>
      </c>
      <c r="B1062" s="310" t="s">
        <v>1373</v>
      </c>
      <c r="C1062" s="309">
        <v>42658</v>
      </c>
      <c r="D1062" s="308" t="s">
        <v>2327</v>
      </c>
      <c r="E1062" s="307">
        <v>1</v>
      </c>
      <c r="F1062" s="311">
        <v>500</v>
      </c>
      <c r="G1062" s="306">
        <f>81-(7)</f>
        <v>74</v>
      </c>
      <c r="I1062" s="305"/>
    </row>
    <row r="1063" spans="1:9" x14ac:dyDescent="0.2">
      <c r="A1063" s="310" t="s">
        <v>1368</v>
      </c>
      <c r="B1063" s="310" t="s">
        <v>1367</v>
      </c>
      <c r="C1063" s="309">
        <v>42068</v>
      </c>
      <c r="D1063" s="308" t="s">
        <v>1655</v>
      </c>
      <c r="E1063" s="307">
        <v>1</v>
      </c>
      <c r="F1063" s="311">
        <v>200</v>
      </c>
      <c r="G1063" s="306">
        <v>74</v>
      </c>
      <c r="I1063" s="305"/>
    </row>
    <row r="1064" spans="1:9" x14ac:dyDescent="0.2">
      <c r="A1064" s="310" t="s">
        <v>1368</v>
      </c>
      <c r="B1064" s="310" t="s">
        <v>1367</v>
      </c>
      <c r="C1064" s="309">
        <v>42068</v>
      </c>
      <c r="D1064" s="308" t="s">
        <v>1820</v>
      </c>
      <c r="E1064" s="307">
        <v>1</v>
      </c>
      <c r="F1064" s="311">
        <v>200</v>
      </c>
      <c r="G1064" s="306">
        <v>74</v>
      </c>
      <c r="I1064" s="305"/>
    </row>
    <row r="1065" spans="1:9" x14ac:dyDescent="0.2">
      <c r="A1065" s="310" t="s">
        <v>1368</v>
      </c>
      <c r="B1065" s="310" t="s">
        <v>1371</v>
      </c>
      <c r="C1065" s="309">
        <v>42323</v>
      </c>
      <c r="D1065" s="308" t="s">
        <v>1444</v>
      </c>
      <c r="E1065" s="307">
        <v>1</v>
      </c>
      <c r="F1065" s="311">
        <v>200</v>
      </c>
      <c r="G1065" s="306">
        <f>70+(4)</f>
        <v>74</v>
      </c>
      <c r="I1065" s="305"/>
    </row>
    <row r="1066" spans="1:9" x14ac:dyDescent="0.2">
      <c r="A1066" s="310" t="s">
        <v>1368</v>
      </c>
      <c r="B1066" s="310" t="s">
        <v>1371</v>
      </c>
      <c r="C1066" s="309">
        <v>42340</v>
      </c>
      <c r="D1066" s="308" t="s">
        <v>1858</v>
      </c>
      <c r="E1066" s="307">
        <v>1</v>
      </c>
      <c r="F1066" s="311">
        <v>200</v>
      </c>
      <c r="G1066" s="306">
        <f>70+(4)</f>
        <v>74</v>
      </c>
      <c r="I1066" s="305"/>
    </row>
    <row r="1067" spans="1:9" x14ac:dyDescent="0.2">
      <c r="A1067" s="310" t="s">
        <v>1368</v>
      </c>
      <c r="B1067" s="310" t="s">
        <v>1371</v>
      </c>
      <c r="C1067" s="309">
        <v>42340</v>
      </c>
      <c r="D1067" s="308" t="s">
        <v>1474</v>
      </c>
      <c r="E1067" s="307">
        <v>1</v>
      </c>
      <c r="F1067" s="311">
        <v>200</v>
      </c>
      <c r="G1067" s="306">
        <f>70+(4)</f>
        <v>74</v>
      </c>
      <c r="I1067" s="305"/>
    </row>
    <row r="1068" spans="1:9" x14ac:dyDescent="0.2">
      <c r="A1068" s="310" t="s">
        <v>1368</v>
      </c>
      <c r="B1068" s="310" t="s">
        <v>1367</v>
      </c>
      <c r="C1068" s="309">
        <v>42453</v>
      </c>
      <c r="D1068" s="308" t="s">
        <v>2476</v>
      </c>
      <c r="E1068" s="307">
        <v>1</v>
      </c>
      <c r="F1068" s="311">
        <v>200</v>
      </c>
      <c r="G1068" s="306">
        <v>74</v>
      </c>
      <c r="I1068" s="305"/>
    </row>
    <row r="1069" spans="1:9" x14ac:dyDescent="0.2">
      <c r="A1069" s="310" t="s">
        <v>1368</v>
      </c>
      <c r="B1069" s="310" t="s">
        <v>1367</v>
      </c>
      <c r="C1069" s="309">
        <v>42461</v>
      </c>
      <c r="D1069" s="308" t="s">
        <v>2488</v>
      </c>
      <c r="E1069" s="307">
        <v>1</v>
      </c>
      <c r="F1069" s="311">
        <v>200</v>
      </c>
      <c r="G1069" s="306">
        <v>74</v>
      </c>
      <c r="I1069" s="305"/>
    </row>
    <row r="1070" spans="1:9" x14ac:dyDescent="0.2">
      <c r="A1070" s="310" t="s">
        <v>1368</v>
      </c>
      <c r="B1070" s="310" t="s">
        <v>1367</v>
      </c>
      <c r="C1070" s="309">
        <v>42563</v>
      </c>
      <c r="D1070" s="308" t="s">
        <v>2585</v>
      </c>
      <c r="E1070" s="307">
        <v>1</v>
      </c>
      <c r="F1070" s="311">
        <v>200</v>
      </c>
      <c r="G1070" s="306">
        <v>74</v>
      </c>
      <c r="H1070" s="305"/>
      <c r="I1070" s="305"/>
    </row>
    <row r="1071" spans="1:9" x14ac:dyDescent="0.2">
      <c r="A1071" s="310" t="s">
        <v>1366</v>
      </c>
      <c r="B1071" s="310" t="s">
        <v>1376</v>
      </c>
      <c r="C1071" s="309">
        <v>42562</v>
      </c>
      <c r="D1071" s="308" t="s">
        <v>2699</v>
      </c>
      <c r="E1071" s="307">
        <v>1</v>
      </c>
      <c r="F1071" s="311">
        <v>380</v>
      </c>
      <c r="G1071" s="306">
        <v>74</v>
      </c>
      <c r="H1071" s="305"/>
      <c r="I1071" s="305"/>
    </row>
    <row r="1072" spans="1:9" x14ac:dyDescent="0.2">
      <c r="A1072" s="310" t="s">
        <v>1366</v>
      </c>
      <c r="B1072" s="310" t="s">
        <v>1376</v>
      </c>
      <c r="C1072" s="309">
        <v>42562</v>
      </c>
      <c r="D1072" s="308" t="s">
        <v>2694</v>
      </c>
      <c r="E1072" s="307">
        <v>1</v>
      </c>
      <c r="F1072" s="311">
        <v>380</v>
      </c>
      <c r="G1072" s="306">
        <v>74</v>
      </c>
      <c r="I1072" s="305"/>
    </row>
    <row r="1073" spans="1:9" x14ac:dyDescent="0.2">
      <c r="A1073" s="310" t="s">
        <v>1366</v>
      </c>
      <c r="B1073" s="310" t="s">
        <v>1376</v>
      </c>
      <c r="C1073" s="309">
        <v>42562</v>
      </c>
      <c r="D1073" s="308" t="s">
        <v>2658</v>
      </c>
      <c r="E1073" s="307">
        <v>1</v>
      </c>
      <c r="F1073" s="311">
        <v>380</v>
      </c>
      <c r="G1073" s="306">
        <v>74</v>
      </c>
      <c r="I1073" s="305"/>
    </row>
    <row r="1074" spans="1:9" x14ac:dyDescent="0.2">
      <c r="A1074" s="310" t="s">
        <v>1364</v>
      </c>
      <c r="B1074" s="310" t="s">
        <v>1367</v>
      </c>
      <c r="C1074" s="309">
        <v>42091</v>
      </c>
      <c r="D1074" s="308" t="s">
        <v>1650</v>
      </c>
      <c r="E1074" s="307">
        <v>1</v>
      </c>
      <c r="F1074" s="311">
        <v>600</v>
      </c>
      <c r="G1074" s="306">
        <v>74</v>
      </c>
      <c r="I1074" s="305"/>
    </row>
    <row r="1075" spans="1:9" x14ac:dyDescent="0.2">
      <c r="A1075" s="310" t="s">
        <v>1364</v>
      </c>
      <c r="B1075" s="310" t="s">
        <v>1367</v>
      </c>
      <c r="C1075" s="309">
        <v>42091</v>
      </c>
      <c r="D1075" s="308" t="s">
        <v>1661</v>
      </c>
      <c r="E1075" s="307">
        <v>1</v>
      </c>
      <c r="F1075" s="311">
        <v>600</v>
      </c>
      <c r="G1075" s="306">
        <v>74</v>
      </c>
      <c r="H1075" s="305"/>
      <c r="I1075" s="305"/>
    </row>
    <row r="1076" spans="1:9" x14ac:dyDescent="0.2">
      <c r="A1076" s="310" t="s">
        <v>1364</v>
      </c>
      <c r="B1076" s="310" t="s">
        <v>1367</v>
      </c>
      <c r="C1076" s="309">
        <v>42638</v>
      </c>
      <c r="D1076" s="308" t="s">
        <v>2737</v>
      </c>
      <c r="E1076" s="307">
        <v>1</v>
      </c>
      <c r="F1076" s="311">
        <v>650</v>
      </c>
      <c r="G1076" s="306">
        <v>74</v>
      </c>
      <c r="H1076" s="305"/>
      <c r="I1076" s="305"/>
    </row>
    <row r="1077" spans="1:9" x14ac:dyDescent="0.2">
      <c r="A1077" s="310" t="s">
        <v>1364</v>
      </c>
      <c r="B1077" s="310" t="s">
        <v>1367</v>
      </c>
      <c r="C1077" s="309">
        <v>42638</v>
      </c>
      <c r="D1077" s="308" t="s">
        <v>2458</v>
      </c>
      <c r="E1077" s="307">
        <v>1</v>
      </c>
      <c r="F1077" s="311">
        <v>650</v>
      </c>
      <c r="G1077" s="306">
        <v>74</v>
      </c>
      <c r="H1077" s="305"/>
      <c r="I1077" s="305"/>
    </row>
    <row r="1078" spans="1:9" x14ac:dyDescent="0.2">
      <c r="A1078" s="310" t="s">
        <v>1364</v>
      </c>
      <c r="B1078" s="310" t="s">
        <v>1367</v>
      </c>
      <c r="C1078" s="309">
        <v>42638</v>
      </c>
      <c r="D1078" s="308" t="s">
        <v>2792</v>
      </c>
      <c r="E1078" s="307">
        <v>1</v>
      </c>
      <c r="F1078" s="311">
        <v>650</v>
      </c>
      <c r="G1078" s="306">
        <v>74</v>
      </c>
      <c r="I1078" s="305"/>
    </row>
    <row r="1079" spans="1:9" x14ac:dyDescent="0.2">
      <c r="A1079" s="310" t="s">
        <v>1362</v>
      </c>
      <c r="B1079" s="310" t="s">
        <v>1365</v>
      </c>
      <c r="C1079" s="309">
        <v>42127</v>
      </c>
      <c r="D1079" s="308" t="s">
        <v>1603</v>
      </c>
      <c r="E1079" s="307">
        <v>1</v>
      </c>
      <c r="F1079" s="311">
        <v>400</v>
      </c>
      <c r="G1079" s="303">
        <f>86-(12)</f>
        <v>74</v>
      </c>
      <c r="I1079" s="305"/>
    </row>
    <row r="1080" spans="1:9" x14ac:dyDescent="0.2">
      <c r="A1080" s="310" t="s">
        <v>1362</v>
      </c>
      <c r="B1080" s="310" t="s">
        <v>1365</v>
      </c>
      <c r="C1080" s="309">
        <v>42127</v>
      </c>
      <c r="D1080" s="308" t="s">
        <v>1602</v>
      </c>
      <c r="E1080" s="307">
        <v>1</v>
      </c>
      <c r="F1080" s="311">
        <v>400</v>
      </c>
      <c r="G1080" s="303">
        <f>86-(12)</f>
        <v>74</v>
      </c>
      <c r="I1080" s="305"/>
    </row>
    <row r="1081" spans="1:9" x14ac:dyDescent="0.2">
      <c r="A1081" s="310" t="s">
        <v>1362</v>
      </c>
      <c r="B1081" s="310" t="s">
        <v>1365</v>
      </c>
      <c r="C1081" s="309">
        <v>42127</v>
      </c>
      <c r="D1081" s="308" t="s">
        <v>1601</v>
      </c>
      <c r="E1081" s="307">
        <v>1</v>
      </c>
      <c r="F1081" s="311">
        <v>400</v>
      </c>
      <c r="G1081" s="303">
        <f>86-(12)</f>
        <v>74</v>
      </c>
      <c r="I1081" s="305"/>
    </row>
    <row r="1082" spans="1:9" x14ac:dyDescent="0.2">
      <c r="A1082" s="310" t="s">
        <v>1362</v>
      </c>
      <c r="B1082" s="310" t="s">
        <v>1365</v>
      </c>
      <c r="C1082" s="309">
        <v>42654</v>
      </c>
      <c r="D1082" s="308" t="s">
        <v>2903</v>
      </c>
      <c r="E1082" s="307">
        <v>1</v>
      </c>
      <c r="F1082" s="311">
        <v>400</v>
      </c>
      <c r="G1082" s="303">
        <f>86-(12)</f>
        <v>74</v>
      </c>
      <c r="I1082" s="305"/>
    </row>
    <row r="1083" spans="1:9" x14ac:dyDescent="0.2">
      <c r="A1083" s="310" t="s">
        <v>1360</v>
      </c>
      <c r="B1083" s="310" t="s">
        <v>1371</v>
      </c>
      <c r="C1083" s="309">
        <v>42022</v>
      </c>
      <c r="D1083" s="308" t="s">
        <v>1563</v>
      </c>
      <c r="E1083" s="307">
        <v>1</v>
      </c>
      <c r="F1083" s="311">
        <v>250</v>
      </c>
      <c r="G1083" s="306">
        <f>70+(4)</f>
        <v>74</v>
      </c>
      <c r="I1083" s="305"/>
    </row>
    <row r="1084" spans="1:9" x14ac:dyDescent="0.2">
      <c r="A1084" s="310" t="s">
        <v>1360</v>
      </c>
      <c r="B1084" s="310" t="s">
        <v>1371</v>
      </c>
      <c r="C1084" s="309">
        <v>42504</v>
      </c>
      <c r="D1084" s="308" t="s">
        <v>2822</v>
      </c>
      <c r="E1084" s="307">
        <v>1</v>
      </c>
      <c r="F1084" s="311">
        <v>275</v>
      </c>
      <c r="G1084" s="306">
        <f>70+(4)</f>
        <v>74</v>
      </c>
      <c r="I1084" s="305"/>
    </row>
    <row r="1085" spans="1:9" x14ac:dyDescent="0.2">
      <c r="A1085" s="310" t="s">
        <v>1359</v>
      </c>
      <c r="B1085" s="310" t="s">
        <v>1363</v>
      </c>
      <c r="C1085" s="309">
        <v>42125</v>
      </c>
      <c r="D1085" s="308" t="s">
        <v>1491</v>
      </c>
      <c r="E1085" s="307">
        <v>1</v>
      </c>
      <c r="F1085" s="311">
        <v>400</v>
      </c>
      <c r="G1085" s="307">
        <v>74</v>
      </c>
      <c r="I1085" s="305"/>
    </row>
    <row r="1086" spans="1:9" x14ac:dyDescent="0.2">
      <c r="A1086" s="310" t="s">
        <v>1358</v>
      </c>
      <c r="B1086" s="310" t="s">
        <v>1375</v>
      </c>
      <c r="C1086" s="309">
        <v>42289</v>
      </c>
      <c r="D1086" s="308" t="s">
        <v>1435</v>
      </c>
      <c r="E1086" s="307">
        <v>1</v>
      </c>
      <c r="F1086" s="311">
        <v>300</v>
      </c>
      <c r="G1086" s="307">
        <v>74</v>
      </c>
      <c r="H1086" s="305"/>
      <c r="I1086" s="305"/>
    </row>
    <row r="1087" spans="1:9" x14ac:dyDescent="0.2">
      <c r="A1087" s="310" t="s">
        <v>1358</v>
      </c>
      <c r="B1087" s="310" t="s">
        <v>1375</v>
      </c>
      <c r="C1087" s="309">
        <v>42460</v>
      </c>
      <c r="D1087" s="308" t="s">
        <v>3006</v>
      </c>
      <c r="E1087" s="307">
        <v>1</v>
      </c>
      <c r="F1087" s="311">
        <v>320</v>
      </c>
      <c r="G1087" s="307">
        <v>74</v>
      </c>
      <c r="H1087" s="305"/>
      <c r="I1087" s="305"/>
    </row>
    <row r="1088" spans="1:9" x14ac:dyDescent="0.2">
      <c r="A1088" s="310" t="s">
        <v>1319</v>
      </c>
      <c r="B1088" s="310" t="s">
        <v>1361</v>
      </c>
      <c r="C1088" s="309">
        <v>42019</v>
      </c>
      <c r="D1088" s="308" t="s">
        <v>1433</v>
      </c>
      <c r="E1088" s="307">
        <v>1</v>
      </c>
      <c r="F1088" s="311">
        <v>100</v>
      </c>
      <c r="G1088" s="303">
        <f>80-(5)</f>
        <v>75</v>
      </c>
      <c r="H1088" s="305"/>
      <c r="I1088" s="305"/>
    </row>
    <row r="1089" spans="1:9" x14ac:dyDescent="0.2">
      <c r="A1089" s="310" t="s">
        <v>1319</v>
      </c>
      <c r="B1089" s="310" t="s">
        <v>1371</v>
      </c>
      <c r="C1089" s="309">
        <v>42258</v>
      </c>
      <c r="D1089" s="308" t="s">
        <v>1639</v>
      </c>
      <c r="E1089" s="307">
        <v>1</v>
      </c>
      <c r="F1089" s="311">
        <v>100</v>
      </c>
      <c r="G1089" s="306">
        <f>71+(4)</f>
        <v>75</v>
      </c>
      <c r="H1089" s="305"/>
      <c r="I1089" s="305"/>
    </row>
    <row r="1090" spans="1:9" x14ac:dyDescent="0.2">
      <c r="A1090" s="310" t="s">
        <v>1319</v>
      </c>
      <c r="B1090" s="310" t="s">
        <v>1367</v>
      </c>
      <c r="C1090" s="309">
        <v>42332</v>
      </c>
      <c r="D1090" s="308" t="s">
        <v>1732</v>
      </c>
      <c r="E1090" s="307">
        <v>1</v>
      </c>
      <c r="F1090" s="311">
        <v>100</v>
      </c>
      <c r="G1090" s="306">
        <v>75</v>
      </c>
      <c r="I1090" s="305"/>
    </row>
    <row r="1091" spans="1:9" x14ac:dyDescent="0.2">
      <c r="A1091" s="310" t="s">
        <v>1319</v>
      </c>
      <c r="B1091" s="310" t="s">
        <v>1373</v>
      </c>
      <c r="C1091" s="309">
        <v>42415</v>
      </c>
      <c r="D1091" s="308" t="s">
        <v>2050</v>
      </c>
      <c r="E1091" s="307">
        <v>1</v>
      </c>
      <c r="F1091" s="311">
        <v>120</v>
      </c>
      <c r="G1091" s="306">
        <f>82-(7)</f>
        <v>75</v>
      </c>
      <c r="I1091" s="305"/>
    </row>
    <row r="1092" spans="1:9" x14ac:dyDescent="0.2">
      <c r="A1092" s="310" t="s">
        <v>1319</v>
      </c>
      <c r="B1092" s="310" t="s">
        <v>1371</v>
      </c>
      <c r="C1092" s="309">
        <v>42476</v>
      </c>
      <c r="D1092" s="308" t="s">
        <v>2135</v>
      </c>
      <c r="E1092" s="307">
        <v>1</v>
      </c>
      <c r="F1092" s="311">
        <v>120</v>
      </c>
      <c r="G1092" s="306">
        <f>71+(4)</f>
        <v>75</v>
      </c>
      <c r="I1092" s="305"/>
    </row>
    <row r="1093" spans="1:9" x14ac:dyDescent="0.2">
      <c r="A1093" s="310" t="s">
        <v>1313</v>
      </c>
      <c r="B1093" s="310" t="s">
        <v>1373</v>
      </c>
      <c r="C1093" s="309">
        <v>42105</v>
      </c>
      <c r="D1093" s="308" t="s">
        <v>1983</v>
      </c>
      <c r="E1093" s="307">
        <v>1</v>
      </c>
      <c r="F1093" s="311">
        <v>200</v>
      </c>
      <c r="G1093" s="306">
        <f>82-(7)</f>
        <v>75</v>
      </c>
      <c r="I1093" s="305"/>
    </row>
    <row r="1094" spans="1:9" x14ac:dyDescent="0.2">
      <c r="A1094" s="310" t="s">
        <v>1313</v>
      </c>
      <c r="B1094" s="310" t="s">
        <v>1361</v>
      </c>
      <c r="C1094" s="309">
        <v>42636</v>
      </c>
      <c r="D1094" s="308" t="s">
        <v>2203</v>
      </c>
      <c r="E1094" s="307">
        <v>1</v>
      </c>
      <c r="F1094" s="311">
        <v>210</v>
      </c>
      <c r="G1094" s="303">
        <f>80-(5)</f>
        <v>75</v>
      </c>
      <c r="I1094" s="305"/>
    </row>
    <row r="1095" spans="1:9" x14ac:dyDescent="0.2">
      <c r="A1095" s="310" t="s">
        <v>1313</v>
      </c>
      <c r="B1095" s="310" t="s">
        <v>1361</v>
      </c>
      <c r="C1095" s="309">
        <v>42636</v>
      </c>
      <c r="D1095" s="308" t="s">
        <v>2194</v>
      </c>
      <c r="E1095" s="307">
        <v>1</v>
      </c>
      <c r="F1095" s="311">
        <v>210</v>
      </c>
      <c r="G1095" s="303">
        <f>80-(5)</f>
        <v>75</v>
      </c>
      <c r="H1095" s="305"/>
      <c r="I1095" s="305"/>
    </row>
    <row r="1096" spans="1:9" x14ac:dyDescent="0.2">
      <c r="A1096" s="310" t="s">
        <v>1374</v>
      </c>
      <c r="B1096" s="310" t="s">
        <v>1369</v>
      </c>
      <c r="C1096" s="309">
        <v>42227</v>
      </c>
      <c r="D1096" s="308" t="s">
        <v>1864</v>
      </c>
      <c r="E1096" s="307">
        <v>1</v>
      </c>
      <c r="F1096" s="311">
        <v>300</v>
      </c>
      <c r="G1096" s="307">
        <v>75</v>
      </c>
      <c r="H1096" s="305"/>
      <c r="I1096" s="305"/>
    </row>
    <row r="1097" spans="1:9" x14ac:dyDescent="0.2">
      <c r="A1097" s="310" t="s">
        <v>1374</v>
      </c>
      <c r="B1097" s="310" t="s">
        <v>1369</v>
      </c>
      <c r="C1097" s="309">
        <v>42227</v>
      </c>
      <c r="D1097" s="308" t="s">
        <v>1445</v>
      </c>
      <c r="E1097" s="307">
        <v>1</v>
      </c>
      <c r="F1097" s="311">
        <v>300</v>
      </c>
      <c r="G1097" s="307">
        <v>75</v>
      </c>
      <c r="I1097" s="305"/>
    </row>
    <row r="1098" spans="1:9" x14ac:dyDescent="0.2">
      <c r="A1098" s="310" t="s">
        <v>1372</v>
      </c>
      <c r="B1098" s="310" t="s">
        <v>1363</v>
      </c>
      <c r="C1098" s="309">
        <v>42685</v>
      </c>
      <c r="D1098" s="308" t="s">
        <v>2305</v>
      </c>
      <c r="E1098" s="307">
        <v>1</v>
      </c>
      <c r="F1098" s="311">
        <v>310</v>
      </c>
      <c r="G1098" s="307">
        <v>75</v>
      </c>
      <c r="I1098" s="305"/>
    </row>
    <row r="1099" spans="1:9" x14ac:dyDescent="0.2">
      <c r="A1099" s="310" t="s">
        <v>1370</v>
      </c>
      <c r="B1099" s="310" t="s">
        <v>1361</v>
      </c>
      <c r="C1099" s="309">
        <v>42447</v>
      </c>
      <c r="D1099" s="308" t="s">
        <v>2400</v>
      </c>
      <c r="E1099" s="307">
        <v>1</v>
      </c>
      <c r="F1099" s="311">
        <v>500</v>
      </c>
      <c r="G1099" s="303">
        <f>80-(5)</f>
        <v>75</v>
      </c>
      <c r="I1099" s="305"/>
    </row>
    <row r="1100" spans="1:9" x14ac:dyDescent="0.2">
      <c r="A1100" s="310" t="s">
        <v>1368</v>
      </c>
      <c r="B1100" s="310" t="s">
        <v>1367</v>
      </c>
      <c r="C1100" s="309">
        <v>42170</v>
      </c>
      <c r="D1100" s="308" t="s">
        <v>1805</v>
      </c>
      <c r="E1100" s="307">
        <v>1</v>
      </c>
      <c r="F1100" s="311">
        <v>200</v>
      </c>
      <c r="G1100" s="306">
        <v>75</v>
      </c>
      <c r="I1100" s="305"/>
    </row>
    <row r="1101" spans="1:9" x14ac:dyDescent="0.2">
      <c r="A1101" s="310" t="s">
        <v>1368</v>
      </c>
      <c r="B1101" s="310" t="s">
        <v>1367</v>
      </c>
      <c r="C1101" s="309">
        <v>42282</v>
      </c>
      <c r="D1101" s="308" t="s">
        <v>1757</v>
      </c>
      <c r="E1101" s="307">
        <v>1</v>
      </c>
      <c r="F1101" s="311">
        <v>200</v>
      </c>
      <c r="G1101" s="306">
        <v>75</v>
      </c>
      <c r="I1101" s="305"/>
    </row>
    <row r="1102" spans="1:9" x14ac:dyDescent="0.2">
      <c r="A1102" s="310" t="s">
        <v>1368</v>
      </c>
      <c r="B1102" s="310" t="s">
        <v>1371</v>
      </c>
      <c r="C1102" s="309">
        <v>42412</v>
      </c>
      <c r="D1102" s="308" t="s">
        <v>2429</v>
      </c>
      <c r="E1102" s="307">
        <v>1</v>
      </c>
      <c r="F1102" s="311">
        <v>200</v>
      </c>
      <c r="G1102" s="306">
        <f>71+(4)</f>
        <v>75</v>
      </c>
      <c r="I1102" s="305"/>
    </row>
    <row r="1103" spans="1:9" x14ac:dyDescent="0.2">
      <c r="A1103" s="310" t="s">
        <v>1368</v>
      </c>
      <c r="B1103" s="310" t="s">
        <v>1371</v>
      </c>
      <c r="C1103" s="309">
        <v>42412</v>
      </c>
      <c r="D1103" s="308" t="s">
        <v>2418</v>
      </c>
      <c r="E1103" s="307">
        <v>1</v>
      </c>
      <c r="F1103" s="311">
        <v>200</v>
      </c>
      <c r="G1103" s="306">
        <f>71+(4)</f>
        <v>75</v>
      </c>
      <c r="H1103" s="305"/>
      <c r="I1103" s="305"/>
    </row>
    <row r="1104" spans="1:9" x14ac:dyDescent="0.2">
      <c r="A1104" s="310" t="s">
        <v>1368</v>
      </c>
      <c r="B1104" s="310" t="s">
        <v>1367</v>
      </c>
      <c r="C1104" s="309">
        <v>42461</v>
      </c>
      <c r="D1104" s="308" t="s">
        <v>2494</v>
      </c>
      <c r="E1104" s="307">
        <v>1</v>
      </c>
      <c r="F1104" s="311">
        <v>200</v>
      </c>
      <c r="G1104" s="306">
        <v>75</v>
      </c>
      <c r="I1104" s="305"/>
    </row>
    <row r="1105" spans="1:9" x14ac:dyDescent="0.2">
      <c r="A1105" s="310" t="s">
        <v>1368</v>
      </c>
      <c r="B1105" s="310" t="s">
        <v>1367</v>
      </c>
      <c r="C1105" s="309">
        <v>42461</v>
      </c>
      <c r="D1105" s="308" t="s">
        <v>2489</v>
      </c>
      <c r="E1105" s="307">
        <v>1</v>
      </c>
      <c r="F1105" s="311">
        <v>200</v>
      </c>
      <c r="G1105" s="306">
        <v>75</v>
      </c>
      <c r="H1105" s="305"/>
      <c r="I1105" s="305"/>
    </row>
    <row r="1106" spans="1:9" x14ac:dyDescent="0.2">
      <c r="A1106" s="310" t="s">
        <v>1368</v>
      </c>
      <c r="B1106" s="310" t="s">
        <v>1367</v>
      </c>
      <c r="C1106" s="309">
        <v>42505</v>
      </c>
      <c r="D1106" s="308" t="s">
        <v>2538</v>
      </c>
      <c r="E1106" s="307">
        <v>1</v>
      </c>
      <c r="F1106" s="311">
        <v>200</v>
      </c>
      <c r="G1106" s="306">
        <v>75</v>
      </c>
      <c r="I1106" s="305"/>
    </row>
    <row r="1107" spans="1:9" x14ac:dyDescent="0.2">
      <c r="A1107" s="310" t="s">
        <v>1366</v>
      </c>
      <c r="B1107" s="310" t="s">
        <v>1376</v>
      </c>
      <c r="C1107" s="309">
        <v>42053</v>
      </c>
      <c r="D1107" s="308" t="s">
        <v>1553</v>
      </c>
      <c r="E1107" s="307">
        <v>1</v>
      </c>
      <c r="F1107" s="311">
        <v>350</v>
      </c>
      <c r="G1107" s="306">
        <v>75</v>
      </c>
      <c r="I1107" s="305"/>
    </row>
    <row r="1108" spans="1:9" x14ac:dyDescent="0.2">
      <c r="A1108" s="310" t="s">
        <v>1366</v>
      </c>
      <c r="B1108" s="310" t="s">
        <v>1376</v>
      </c>
      <c r="C1108" s="309">
        <v>42259</v>
      </c>
      <c r="D1108" s="308" t="s">
        <v>1743</v>
      </c>
      <c r="E1108" s="307">
        <v>1</v>
      </c>
      <c r="F1108" s="311">
        <v>350</v>
      </c>
      <c r="G1108" s="306">
        <v>75</v>
      </c>
      <c r="I1108" s="305"/>
    </row>
    <row r="1109" spans="1:9" x14ac:dyDescent="0.2">
      <c r="A1109" s="310" t="s">
        <v>1366</v>
      </c>
      <c r="B1109" s="310" t="s">
        <v>1376</v>
      </c>
      <c r="C1109" s="309">
        <v>42562</v>
      </c>
      <c r="D1109" s="308" t="s">
        <v>2671</v>
      </c>
      <c r="E1109" s="307">
        <v>1</v>
      </c>
      <c r="F1109" s="311">
        <v>380</v>
      </c>
      <c r="G1109" s="306">
        <v>75</v>
      </c>
      <c r="I1109" s="305"/>
    </row>
    <row r="1110" spans="1:9" x14ac:dyDescent="0.2">
      <c r="A1110" s="310" t="s">
        <v>1364</v>
      </c>
      <c r="B1110" s="310" t="s">
        <v>1367</v>
      </c>
      <c r="C1110" s="309">
        <v>42091</v>
      </c>
      <c r="D1110" s="308" t="s">
        <v>1672</v>
      </c>
      <c r="E1110" s="307">
        <v>1</v>
      </c>
      <c r="F1110" s="311">
        <v>600</v>
      </c>
      <c r="G1110" s="306">
        <v>75</v>
      </c>
      <c r="I1110" s="305"/>
    </row>
    <row r="1111" spans="1:9" x14ac:dyDescent="0.2">
      <c r="A1111" s="310" t="s">
        <v>1364</v>
      </c>
      <c r="B1111" s="310" t="s">
        <v>1371</v>
      </c>
      <c r="C1111" s="309">
        <v>42265</v>
      </c>
      <c r="D1111" s="308" t="s">
        <v>1699</v>
      </c>
      <c r="E1111" s="307">
        <v>1</v>
      </c>
      <c r="F1111" s="311">
        <v>600</v>
      </c>
      <c r="G1111" s="306">
        <f>71+(4)</f>
        <v>75</v>
      </c>
      <c r="H1111" s="305"/>
      <c r="I1111" s="305"/>
    </row>
    <row r="1112" spans="1:9" x14ac:dyDescent="0.2">
      <c r="A1112" s="310" t="s">
        <v>1364</v>
      </c>
      <c r="B1112" s="310" t="s">
        <v>1371</v>
      </c>
      <c r="C1112" s="309">
        <v>42430</v>
      </c>
      <c r="D1112" s="308" t="s">
        <v>2464</v>
      </c>
      <c r="E1112" s="307">
        <v>1</v>
      </c>
      <c r="F1112" s="311">
        <v>650</v>
      </c>
      <c r="G1112" s="306">
        <f>71+(4)</f>
        <v>75</v>
      </c>
      <c r="H1112" s="305"/>
      <c r="I1112" s="305"/>
    </row>
    <row r="1113" spans="1:9" x14ac:dyDescent="0.2">
      <c r="A1113" s="310" t="s">
        <v>1364</v>
      </c>
      <c r="B1113" s="310" t="s">
        <v>1367</v>
      </c>
      <c r="C1113" s="309">
        <v>42638</v>
      </c>
      <c r="D1113" s="308" t="s">
        <v>2739</v>
      </c>
      <c r="E1113" s="307">
        <v>1</v>
      </c>
      <c r="F1113" s="311">
        <v>650</v>
      </c>
      <c r="G1113" s="306">
        <v>75</v>
      </c>
      <c r="I1113" s="305"/>
    </row>
    <row r="1114" spans="1:9" x14ac:dyDescent="0.2">
      <c r="A1114" s="310" t="s">
        <v>1362</v>
      </c>
      <c r="B1114" s="310" t="s">
        <v>1365</v>
      </c>
      <c r="C1114" s="309">
        <v>42058</v>
      </c>
      <c r="D1114" s="308" t="s">
        <v>1616</v>
      </c>
      <c r="E1114" s="307">
        <v>1</v>
      </c>
      <c r="F1114" s="311">
        <v>400</v>
      </c>
      <c r="G1114" s="303">
        <f>87-(12)</f>
        <v>75</v>
      </c>
      <c r="H1114" s="305"/>
      <c r="I1114" s="305"/>
    </row>
    <row r="1115" spans="1:9" x14ac:dyDescent="0.2">
      <c r="A1115" s="310" t="s">
        <v>1362</v>
      </c>
      <c r="B1115" s="310" t="s">
        <v>1365</v>
      </c>
      <c r="C1115" s="309">
        <v>42654</v>
      </c>
      <c r="D1115" s="308" t="s">
        <v>2868</v>
      </c>
      <c r="E1115" s="307">
        <v>1</v>
      </c>
      <c r="F1115" s="311">
        <v>400</v>
      </c>
      <c r="G1115" s="303">
        <f>87-(12)</f>
        <v>75</v>
      </c>
      <c r="H1115" s="305"/>
      <c r="I1115" s="305"/>
    </row>
    <row r="1116" spans="1:9" x14ac:dyDescent="0.2">
      <c r="A1116" s="310" t="s">
        <v>1362</v>
      </c>
      <c r="B1116" s="310" t="s">
        <v>1365</v>
      </c>
      <c r="C1116" s="309">
        <v>42654</v>
      </c>
      <c r="D1116" s="308" t="s">
        <v>2892</v>
      </c>
      <c r="E1116" s="307">
        <v>1</v>
      </c>
      <c r="F1116" s="311">
        <v>400</v>
      </c>
      <c r="G1116" s="303">
        <f>87-(12)</f>
        <v>75</v>
      </c>
      <c r="H1116" s="305"/>
      <c r="I1116" s="305"/>
    </row>
    <row r="1117" spans="1:9" x14ac:dyDescent="0.2">
      <c r="A1117" s="310" t="s">
        <v>1362</v>
      </c>
      <c r="B1117" s="310" t="s">
        <v>1365</v>
      </c>
      <c r="C1117" s="309">
        <v>42654</v>
      </c>
      <c r="D1117" s="308" t="s">
        <v>2859</v>
      </c>
      <c r="E1117" s="307">
        <v>1</v>
      </c>
      <c r="F1117" s="311">
        <v>400</v>
      </c>
      <c r="G1117" s="303">
        <f>87-(12)</f>
        <v>75</v>
      </c>
      <c r="H1117" s="305"/>
      <c r="I1117" s="305"/>
    </row>
    <row r="1118" spans="1:9" x14ac:dyDescent="0.2">
      <c r="A1118" s="310" t="s">
        <v>1360</v>
      </c>
      <c r="B1118" s="310" t="s">
        <v>1371</v>
      </c>
      <c r="C1118" s="309">
        <v>42022</v>
      </c>
      <c r="D1118" s="308" t="s">
        <v>1515</v>
      </c>
      <c r="E1118" s="307">
        <v>1</v>
      </c>
      <c r="F1118" s="311">
        <v>250</v>
      </c>
      <c r="G1118" s="306">
        <f>71+(4)</f>
        <v>75</v>
      </c>
      <c r="H1118" s="305"/>
      <c r="I1118" s="305"/>
    </row>
    <row r="1119" spans="1:9" x14ac:dyDescent="0.2">
      <c r="A1119" s="310" t="s">
        <v>1360</v>
      </c>
      <c r="B1119" s="310" t="s">
        <v>1371</v>
      </c>
      <c r="C1119" s="309">
        <v>42022</v>
      </c>
      <c r="D1119" s="308" t="s">
        <v>1556</v>
      </c>
      <c r="E1119" s="307">
        <v>1</v>
      </c>
      <c r="F1119" s="311">
        <v>250</v>
      </c>
      <c r="G1119" s="306">
        <f>71+(4)</f>
        <v>75</v>
      </c>
      <c r="I1119" s="305"/>
    </row>
    <row r="1120" spans="1:9" x14ac:dyDescent="0.2">
      <c r="A1120" s="310" t="s">
        <v>1359</v>
      </c>
      <c r="B1120" s="310" t="s">
        <v>1363</v>
      </c>
      <c r="C1120" s="309">
        <v>42424</v>
      </c>
      <c r="D1120" s="308" t="s">
        <v>2951</v>
      </c>
      <c r="E1120" s="307">
        <v>1</v>
      </c>
      <c r="F1120" s="311">
        <v>400</v>
      </c>
      <c r="G1120" s="307">
        <v>75</v>
      </c>
      <c r="H1120" s="305"/>
      <c r="I1120" s="305"/>
    </row>
    <row r="1121" spans="1:9" x14ac:dyDescent="0.2">
      <c r="A1121" s="310" t="s">
        <v>1359</v>
      </c>
      <c r="B1121" s="310" t="s">
        <v>1363</v>
      </c>
      <c r="C1121" s="309">
        <v>42424</v>
      </c>
      <c r="D1121" s="308" t="s">
        <v>2974</v>
      </c>
      <c r="E1121" s="307">
        <v>1</v>
      </c>
      <c r="F1121" s="311">
        <v>400</v>
      </c>
      <c r="G1121" s="307">
        <v>75</v>
      </c>
      <c r="I1121" s="305"/>
    </row>
    <row r="1122" spans="1:9" x14ac:dyDescent="0.2">
      <c r="A1122" s="310" t="s">
        <v>1358</v>
      </c>
      <c r="B1122" s="310" t="s">
        <v>1375</v>
      </c>
      <c r="C1122" s="309">
        <v>42648</v>
      </c>
      <c r="D1122" s="308" t="s">
        <v>2689</v>
      </c>
      <c r="E1122" s="307">
        <v>1</v>
      </c>
      <c r="F1122" s="311">
        <v>320</v>
      </c>
      <c r="G1122" s="307">
        <v>75</v>
      </c>
      <c r="H1122" s="305"/>
      <c r="I1122" s="305"/>
    </row>
    <row r="1123" spans="1:9" x14ac:dyDescent="0.2">
      <c r="A1123" s="310" t="s">
        <v>1319</v>
      </c>
      <c r="B1123" s="310" t="s">
        <v>1367</v>
      </c>
      <c r="C1123" s="309">
        <v>42332</v>
      </c>
      <c r="D1123" s="308" t="s">
        <v>1448</v>
      </c>
      <c r="E1123" s="307">
        <v>1</v>
      </c>
      <c r="F1123" s="311">
        <v>100</v>
      </c>
      <c r="G1123" s="306">
        <v>76</v>
      </c>
      <c r="H1123" s="305"/>
    </row>
    <row r="1124" spans="1:9" x14ac:dyDescent="0.2">
      <c r="A1124" s="310" t="s">
        <v>1319</v>
      </c>
      <c r="B1124" s="310" t="s">
        <v>1373</v>
      </c>
      <c r="C1124" s="309">
        <v>42415</v>
      </c>
      <c r="D1124" s="308" t="s">
        <v>2078</v>
      </c>
      <c r="E1124" s="307">
        <v>1</v>
      </c>
      <c r="F1124" s="311">
        <v>120</v>
      </c>
      <c r="G1124" s="306">
        <f>83-(7)</f>
        <v>76</v>
      </c>
      <c r="H1124" s="305"/>
    </row>
    <row r="1125" spans="1:9" x14ac:dyDescent="0.2">
      <c r="A1125" s="310" t="s">
        <v>1319</v>
      </c>
      <c r="B1125" s="310" t="s">
        <v>1371</v>
      </c>
      <c r="C1125" s="309">
        <v>42476</v>
      </c>
      <c r="D1125" s="308" t="s">
        <v>2125</v>
      </c>
      <c r="E1125" s="307">
        <v>1</v>
      </c>
      <c r="F1125" s="311">
        <v>120</v>
      </c>
      <c r="G1125" s="306">
        <f>72+(4)</f>
        <v>76</v>
      </c>
      <c r="H1125" s="305"/>
    </row>
    <row r="1126" spans="1:9" x14ac:dyDescent="0.2">
      <c r="A1126" s="310" t="s">
        <v>1319</v>
      </c>
      <c r="B1126" s="310" t="s">
        <v>1371</v>
      </c>
      <c r="C1126" s="309">
        <v>42476</v>
      </c>
      <c r="D1126" s="308" t="s">
        <v>2100</v>
      </c>
      <c r="E1126" s="307">
        <v>1</v>
      </c>
      <c r="F1126" s="311">
        <v>120</v>
      </c>
      <c r="G1126" s="306">
        <f>72+(4)</f>
        <v>76</v>
      </c>
      <c r="H1126" s="305"/>
    </row>
    <row r="1127" spans="1:9" x14ac:dyDescent="0.2">
      <c r="A1127" s="310" t="s">
        <v>1313</v>
      </c>
      <c r="B1127" s="310" t="s">
        <v>1373</v>
      </c>
      <c r="C1127" s="309">
        <v>42105</v>
      </c>
      <c r="D1127" s="308" t="s">
        <v>1938</v>
      </c>
      <c r="E1127" s="307">
        <v>1</v>
      </c>
      <c r="F1127" s="311">
        <v>200</v>
      </c>
      <c r="G1127" s="306">
        <f>83-(7)</f>
        <v>76</v>
      </c>
    </row>
    <row r="1128" spans="1:9" x14ac:dyDescent="0.2">
      <c r="A1128" s="310" t="s">
        <v>1313</v>
      </c>
      <c r="B1128" s="310" t="s">
        <v>1361</v>
      </c>
      <c r="C1128" s="309">
        <v>42177</v>
      </c>
      <c r="D1128" s="308" t="s">
        <v>1462</v>
      </c>
      <c r="E1128" s="307">
        <v>1</v>
      </c>
      <c r="F1128" s="311">
        <v>200</v>
      </c>
      <c r="G1128" s="303">
        <f>81-(5)</f>
        <v>76</v>
      </c>
    </row>
    <row r="1129" spans="1:9" x14ac:dyDescent="0.2">
      <c r="A1129" s="310" t="s">
        <v>1374</v>
      </c>
      <c r="B1129" s="310" t="s">
        <v>1369</v>
      </c>
      <c r="C1129" s="309">
        <v>42531</v>
      </c>
      <c r="D1129" s="308" t="s">
        <v>2251</v>
      </c>
      <c r="E1129" s="307">
        <v>1</v>
      </c>
      <c r="F1129" s="311">
        <v>320</v>
      </c>
      <c r="G1129" s="307">
        <v>76</v>
      </c>
    </row>
    <row r="1130" spans="1:9" x14ac:dyDescent="0.2">
      <c r="A1130" s="310" t="s">
        <v>1372</v>
      </c>
      <c r="B1130" s="310" t="s">
        <v>1365</v>
      </c>
      <c r="C1130" s="309">
        <v>42056</v>
      </c>
      <c r="D1130" s="308" t="s">
        <v>1712</v>
      </c>
      <c r="E1130" s="307">
        <v>1</v>
      </c>
      <c r="F1130" s="311">
        <v>300</v>
      </c>
      <c r="G1130" s="303">
        <f>88-(12)</f>
        <v>76</v>
      </c>
    </row>
    <row r="1131" spans="1:9" x14ac:dyDescent="0.2">
      <c r="A1131" s="310" t="s">
        <v>1372</v>
      </c>
      <c r="B1131" s="310" t="s">
        <v>1363</v>
      </c>
      <c r="C1131" s="309">
        <v>42685</v>
      </c>
      <c r="D1131" s="308" t="s">
        <v>2310</v>
      </c>
      <c r="E1131" s="307">
        <v>1</v>
      </c>
      <c r="F1131" s="311">
        <v>310</v>
      </c>
      <c r="G1131" s="307">
        <v>76</v>
      </c>
    </row>
    <row r="1132" spans="1:9" x14ac:dyDescent="0.2">
      <c r="A1132" s="310" t="s">
        <v>1370</v>
      </c>
      <c r="B1132" s="310" t="s">
        <v>1361</v>
      </c>
      <c r="C1132" s="309">
        <v>42447</v>
      </c>
      <c r="D1132" s="308" t="s">
        <v>2403</v>
      </c>
      <c r="E1132" s="307">
        <v>1</v>
      </c>
      <c r="F1132" s="311">
        <v>500</v>
      </c>
      <c r="G1132" s="303">
        <f>81-(5)</f>
        <v>76</v>
      </c>
    </row>
    <row r="1133" spans="1:9" x14ac:dyDescent="0.2">
      <c r="A1133" s="310" t="s">
        <v>1368</v>
      </c>
      <c r="B1133" s="310" t="s">
        <v>1367</v>
      </c>
      <c r="C1133" s="309">
        <v>42282</v>
      </c>
      <c r="D1133" s="308" t="s">
        <v>1756</v>
      </c>
      <c r="E1133" s="307">
        <v>1</v>
      </c>
      <c r="F1133" s="311">
        <v>200</v>
      </c>
      <c r="G1133" s="306">
        <v>76</v>
      </c>
      <c r="H1133" s="305"/>
    </row>
    <row r="1134" spans="1:9" x14ac:dyDescent="0.2">
      <c r="A1134" s="310" t="s">
        <v>1368</v>
      </c>
      <c r="B1134" s="310" t="s">
        <v>1371</v>
      </c>
      <c r="C1134" s="309">
        <v>42323</v>
      </c>
      <c r="D1134" s="308" t="s">
        <v>1898</v>
      </c>
      <c r="E1134" s="307">
        <v>1</v>
      </c>
      <c r="F1134" s="311">
        <v>200</v>
      </c>
      <c r="G1134" s="306">
        <f>72+(4)</f>
        <v>76</v>
      </c>
      <c r="H1134" s="305"/>
    </row>
    <row r="1135" spans="1:9" x14ac:dyDescent="0.2">
      <c r="A1135" s="310" t="s">
        <v>1368</v>
      </c>
      <c r="B1135" s="310" t="s">
        <v>1371</v>
      </c>
      <c r="C1135" s="309">
        <v>42323</v>
      </c>
      <c r="D1135" s="308" t="s">
        <v>1890</v>
      </c>
      <c r="E1135" s="307">
        <v>1</v>
      </c>
      <c r="F1135" s="311">
        <v>200</v>
      </c>
      <c r="G1135" s="306">
        <f>72+(4)</f>
        <v>76</v>
      </c>
    </row>
    <row r="1136" spans="1:9" x14ac:dyDescent="0.2">
      <c r="A1136" s="310" t="s">
        <v>1368</v>
      </c>
      <c r="B1136" s="310" t="s">
        <v>1367</v>
      </c>
      <c r="C1136" s="309">
        <v>42453</v>
      </c>
      <c r="D1136" s="308" t="s">
        <v>2474</v>
      </c>
      <c r="E1136" s="307">
        <v>1</v>
      </c>
      <c r="F1136" s="311">
        <v>200</v>
      </c>
      <c r="G1136" s="306">
        <v>76</v>
      </c>
    </row>
    <row r="1137" spans="1:8" x14ac:dyDescent="0.2">
      <c r="A1137" s="310" t="s">
        <v>1368</v>
      </c>
      <c r="B1137" s="310" t="s">
        <v>1367</v>
      </c>
      <c r="C1137" s="309">
        <v>42593</v>
      </c>
      <c r="D1137" s="308" t="s">
        <v>2627</v>
      </c>
      <c r="E1137" s="307">
        <v>1</v>
      </c>
      <c r="F1137" s="311">
        <v>200</v>
      </c>
      <c r="G1137" s="306">
        <v>76</v>
      </c>
      <c r="H1137" s="305"/>
    </row>
    <row r="1138" spans="1:8" x14ac:dyDescent="0.2">
      <c r="A1138" s="310" t="s">
        <v>1368</v>
      </c>
      <c r="B1138" s="310" t="s">
        <v>1367</v>
      </c>
      <c r="C1138" s="309">
        <v>42614</v>
      </c>
      <c r="D1138" s="308" t="s">
        <v>2632</v>
      </c>
      <c r="E1138" s="307">
        <v>1</v>
      </c>
      <c r="F1138" s="311">
        <v>200</v>
      </c>
      <c r="G1138" s="306">
        <v>76</v>
      </c>
    </row>
    <row r="1139" spans="1:8" x14ac:dyDescent="0.2">
      <c r="A1139" s="310" t="s">
        <v>1366</v>
      </c>
      <c r="B1139" s="310" t="s">
        <v>1376</v>
      </c>
      <c r="C1139" s="309">
        <v>42259</v>
      </c>
      <c r="D1139" s="308" t="s">
        <v>1747</v>
      </c>
      <c r="E1139" s="307">
        <v>1</v>
      </c>
      <c r="F1139" s="311">
        <v>350</v>
      </c>
      <c r="G1139" s="306">
        <v>76</v>
      </c>
    </row>
    <row r="1140" spans="1:8" x14ac:dyDescent="0.2">
      <c r="A1140" s="310" t="s">
        <v>1366</v>
      </c>
      <c r="B1140" s="310" t="s">
        <v>1376</v>
      </c>
      <c r="C1140" s="309">
        <v>42259</v>
      </c>
      <c r="D1140" s="308" t="s">
        <v>1687</v>
      </c>
      <c r="E1140" s="307">
        <v>1</v>
      </c>
      <c r="F1140" s="311">
        <v>350</v>
      </c>
      <c r="G1140" s="306">
        <v>76</v>
      </c>
    </row>
    <row r="1141" spans="1:8" x14ac:dyDescent="0.2">
      <c r="A1141" s="310" t="s">
        <v>1364</v>
      </c>
      <c r="B1141" s="310" t="s">
        <v>1367</v>
      </c>
      <c r="C1141" s="309">
        <v>42091</v>
      </c>
      <c r="D1141" s="308" t="s">
        <v>1690</v>
      </c>
      <c r="E1141" s="307">
        <v>1</v>
      </c>
      <c r="F1141" s="311">
        <v>600</v>
      </c>
      <c r="G1141" s="306">
        <v>76</v>
      </c>
    </row>
    <row r="1142" spans="1:8" x14ac:dyDescent="0.2">
      <c r="A1142" s="310" t="s">
        <v>1364</v>
      </c>
      <c r="B1142" s="310" t="s">
        <v>1371</v>
      </c>
      <c r="C1142" s="309">
        <v>42157</v>
      </c>
      <c r="D1142" s="308" t="s">
        <v>1614</v>
      </c>
      <c r="E1142" s="307">
        <v>1</v>
      </c>
      <c r="F1142" s="311">
        <v>600</v>
      </c>
      <c r="G1142" s="306">
        <f>72+(4)</f>
        <v>76</v>
      </c>
    </row>
    <row r="1143" spans="1:8" x14ac:dyDescent="0.2">
      <c r="A1143" s="310" t="s">
        <v>1364</v>
      </c>
      <c r="B1143" s="310" t="s">
        <v>1371</v>
      </c>
      <c r="C1143" s="309">
        <v>42265</v>
      </c>
      <c r="D1143" s="308" t="s">
        <v>1695</v>
      </c>
      <c r="E1143" s="307">
        <v>1</v>
      </c>
      <c r="F1143" s="311">
        <v>600</v>
      </c>
      <c r="G1143" s="306">
        <f>72+(4)</f>
        <v>76</v>
      </c>
    </row>
    <row r="1144" spans="1:8" x14ac:dyDescent="0.2">
      <c r="A1144" s="310" t="s">
        <v>1364</v>
      </c>
      <c r="B1144" s="310" t="s">
        <v>1371</v>
      </c>
      <c r="C1144" s="309">
        <v>42430</v>
      </c>
      <c r="D1144" s="308" t="s">
        <v>2702</v>
      </c>
      <c r="E1144" s="307">
        <v>1</v>
      </c>
      <c r="F1144" s="311">
        <v>650</v>
      </c>
      <c r="G1144" s="306">
        <f>72+(4)</f>
        <v>76</v>
      </c>
    </row>
    <row r="1145" spans="1:8" x14ac:dyDescent="0.2">
      <c r="A1145" s="310" t="s">
        <v>1364</v>
      </c>
      <c r="B1145" s="310" t="s">
        <v>1367</v>
      </c>
      <c r="C1145" s="309">
        <v>42638</v>
      </c>
      <c r="D1145" s="308" t="s">
        <v>2788</v>
      </c>
      <c r="E1145" s="307">
        <v>1</v>
      </c>
      <c r="F1145" s="311">
        <v>650</v>
      </c>
      <c r="G1145" s="306">
        <v>76</v>
      </c>
      <c r="H1145" s="305"/>
    </row>
    <row r="1146" spans="1:8" x14ac:dyDescent="0.2">
      <c r="A1146" s="310" t="s">
        <v>1362</v>
      </c>
      <c r="B1146" s="310" t="s">
        <v>1365</v>
      </c>
      <c r="C1146" s="309">
        <v>42058</v>
      </c>
      <c r="D1146" s="308" t="s">
        <v>1654</v>
      </c>
      <c r="E1146" s="307">
        <v>1</v>
      </c>
      <c r="F1146" s="311">
        <v>400</v>
      </c>
      <c r="G1146" s="303">
        <f>88-(12)</f>
        <v>76</v>
      </c>
      <c r="H1146" s="305"/>
    </row>
    <row r="1147" spans="1:8" x14ac:dyDescent="0.2">
      <c r="A1147" s="310" t="s">
        <v>1362</v>
      </c>
      <c r="B1147" s="310" t="s">
        <v>1365</v>
      </c>
      <c r="C1147" s="309">
        <v>42127</v>
      </c>
      <c r="D1147" s="308" t="s">
        <v>1590</v>
      </c>
      <c r="E1147" s="307">
        <v>1</v>
      </c>
      <c r="F1147" s="311">
        <v>400</v>
      </c>
      <c r="G1147" s="303">
        <f>88-(12)</f>
        <v>76</v>
      </c>
      <c r="H1147" s="305"/>
    </row>
    <row r="1148" spans="1:8" x14ac:dyDescent="0.2">
      <c r="A1148" s="310" t="s">
        <v>1362</v>
      </c>
      <c r="B1148" s="310" t="s">
        <v>1365</v>
      </c>
      <c r="C1148" s="309">
        <v>42592</v>
      </c>
      <c r="D1148" s="308" t="s">
        <v>2822</v>
      </c>
      <c r="E1148" s="307">
        <v>1</v>
      </c>
      <c r="F1148" s="311">
        <v>400</v>
      </c>
      <c r="G1148" s="303">
        <f>88-(12)</f>
        <v>76</v>
      </c>
    </row>
    <row r="1149" spans="1:8" x14ac:dyDescent="0.2">
      <c r="A1149" s="310" t="s">
        <v>1362</v>
      </c>
      <c r="B1149" s="310" t="s">
        <v>1365</v>
      </c>
      <c r="C1149" s="309">
        <v>42592</v>
      </c>
      <c r="D1149" s="308" t="s">
        <v>2804</v>
      </c>
      <c r="E1149" s="307">
        <v>1</v>
      </c>
      <c r="F1149" s="311">
        <v>400</v>
      </c>
      <c r="G1149" s="303">
        <f>88-(12)</f>
        <v>76</v>
      </c>
    </row>
    <row r="1150" spans="1:8" x14ac:dyDescent="0.2">
      <c r="A1150" s="310" t="s">
        <v>1362</v>
      </c>
      <c r="B1150" s="310" t="s">
        <v>1365</v>
      </c>
      <c r="C1150" s="309">
        <v>42592</v>
      </c>
      <c r="D1150" s="308" t="s">
        <v>2823</v>
      </c>
      <c r="E1150" s="307">
        <v>1</v>
      </c>
      <c r="F1150" s="311">
        <v>400</v>
      </c>
      <c r="G1150" s="303">
        <f>88-(12)</f>
        <v>76</v>
      </c>
    </row>
    <row r="1151" spans="1:8" x14ac:dyDescent="0.2">
      <c r="A1151" s="310" t="s">
        <v>1359</v>
      </c>
      <c r="B1151" s="310" t="s">
        <v>1363</v>
      </c>
      <c r="C1151" s="309">
        <v>42064</v>
      </c>
      <c r="D1151" s="308" t="s">
        <v>1533</v>
      </c>
      <c r="E1151" s="307">
        <v>1</v>
      </c>
      <c r="F1151" s="311">
        <v>400</v>
      </c>
      <c r="G1151" s="307">
        <v>76</v>
      </c>
    </row>
    <row r="1152" spans="1:8" x14ac:dyDescent="0.2">
      <c r="A1152" s="310" t="s">
        <v>1359</v>
      </c>
      <c r="B1152" s="310" t="s">
        <v>1363</v>
      </c>
      <c r="C1152" s="309">
        <v>42064</v>
      </c>
      <c r="D1152" s="308" t="s">
        <v>1494</v>
      </c>
      <c r="E1152" s="307">
        <v>1</v>
      </c>
      <c r="F1152" s="311">
        <v>400</v>
      </c>
      <c r="G1152" s="307">
        <v>76</v>
      </c>
    </row>
    <row r="1153" spans="1:8" x14ac:dyDescent="0.2">
      <c r="A1153" s="310" t="s">
        <v>1359</v>
      </c>
      <c r="B1153" s="310" t="s">
        <v>1363</v>
      </c>
      <c r="C1153" s="309">
        <v>42424</v>
      </c>
      <c r="D1153" s="308" t="s">
        <v>2939</v>
      </c>
      <c r="E1153" s="307">
        <v>1</v>
      </c>
      <c r="F1153" s="311">
        <v>400</v>
      </c>
      <c r="G1153" s="307">
        <v>76</v>
      </c>
      <c r="H1153" s="305"/>
    </row>
    <row r="1154" spans="1:8" x14ac:dyDescent="0.2">
      <c r="A1154" s="310" t="s">
        <v>1359</v>
      </c>
      <c r="B1154" s="310" t="s">
        <v>1363</v>
      </c>
      <c r="C1154" s="309">
        <v>42623</v>
      </c>
      <c r="D1154" s="308" t="s">
        <v>2995</v>
      </c>
      <c r="E1154" s="307">
        <v>1</v>
      </c>
      <c r="F1154" s="311">
        <v>400</v>
      </c>
      <c r="G1154" s="307">
        <v>76</v>
      </c>
      <c r="H1154" s="305"/>
    </row>
    <row r="1155" spans="1:8" x14ac:dyDescent="0.2">
      <c r="A1155" s="310" t="s">
        <v>1358</v>
      </c>
      <c r="B1155" s="310" t="s">
        <v>1375</v>
      </c>
      <c r="C1155" s="309">
        <v>42289</v>
      </c>
      <c r="D1155" s="308" t="s">
        <v>1444</v>
      </c>
      <c r="E1155" s="307">
        <v>1</v>
      </c>
      <c r="F1155" s="311">
        <v>300</v>
      </c>
      <c r="G1155" s="307">
        <v>76</v>
      </c>
    </row>
    <row r="1156" spans="1:8" x14ac:dyDescent="0.2">
      <c r="A1156" s="310" t="s">
        <v>1358</v>
      </c>
      <c r="B1156" s="310" t="s">
        <v>1375</v>
      </c>
      <c r="C1156" s="309">
        <v>42289</v>
      </c>
      <c r="D1156" s="308" t="s">
        <v>1442</v>
      </c>
      <c r="E1156" s="307">
        <v>1</v>
      </c>
      <c r="F1156" s="311">
        <v>300</v>
      </c>
      <c r="G1156" s="307">
        <v>76</v>
      </c>
    </row>
    <row r="1157" spans="1:8" x14ac:dyDescent="0.2">
      <c r="A1157" s="310" t="s">
        <v>1358</v>
      </c>
      <c r="B1157" s="310" t="s">
        <v>1375</v>
      </c>
      <c r="C1157" s="309">
        <v>42289</v>
      </c>
      <c r="D1157" s="308" t="s">
        <v>1434</v>
      </c>
      <c r="E1157" s="307">
        <v>1</v>
      </c>
      <c r="F1157" s="311">
        <v>300</v>
      </c>
      <c r="G1157" s="307">
        <v>76</v>
      </c>
    </row>
    <row r="1158" spans="1:8" x14ac:dyDescent="0.2">
      <c r="A1158" s="310" t="s">
        <v>1319</v>
      </c>
      <c r="B1158" s="310" t="s">
        <v>1371</v>
      </c>
      <c r="C1158" s="309">
        <v>42258</v>
      </c>
      <c r="D1158" s="308" t="s">
        <v>2008</v>
      </c>
      <c r="E1158" s="307">
        <v>1</v>
      </c>
      <c r="F1158" s="311">
        <v>100</v>
      </c>
      <c r="G1158" s="306">
        <f>73+(4)</f>
        <v>77</v>
      </c>
    </row>
    <row r="1159" spans="1:8" x14ac:dyDescent="0.2">
      <c r="A1159" s="310" t="s">
        <v>1319</v>
      </c>
      <c r="B1159" s="310" t="s">
        <v>1371</v>
      </c>
      <c r="C1159" s="309">
        <v>42258</v>
      </c>
      <c r="D1159" s="308" t="s">
        <v>1480</v>
      </c>
      <c r="E1159" s="307">
        <v>1</v>
      </c>
      <c r="F1159" s="311">
        <v>100</v>
      </c>
      <c r="G1159" s="306">
        <f>73+(4)</f>
        <v>77</v>
      </c>
      <c r="H1159" s="305"/>
    </row>
    <row r="1160" spans="1:8" x14ac:dyDescent="0.2">
      <c r="A1160" s="310" t="s">
        <v>1319</v>
      </c>
      <c r="B1160" s="310" t="s">
        <v>1367</v>
      </c>
      <c r="C1160" s="309">
        <v>42332</v>
      </c>
      <c r="D1160" s="308" t="s">
        <v>1986</v>
      </c>
      <c r="E1160" s="307">
        <v>1</v>
      </c>
      <c r="F1160" s="311">
        <v>100</v>
      </c>
      <c r="G1160" s="306">
        <v>77</v>
      </c>
    </row>
    <row r="1161" spans="1:8" x14ac:dyDescent="0.2">
      <c r="A1161" s="310" t="s">
        <v>1319</v>
      </c>
      <c r="B1161" s="310" t="s">
        <v>1371</v>
      </c>
      <c r="C1161" s="309">
        <v>42476</v>
      </c>
      <c r="D1161" s="308" t="s">
        <v>2091</v>
      </c>
      <c r="E1161" s="307">
        <v>1</v>
      </c>
      <c r="F1161" s="311">
        <v>120</v>
      </c>
      <c r="G1161" s="306">
        <f>73+(4)</f>
        <v>77</v>
      </c>
      <c r="H1161" s="305"/>
    </row>
    <row r="1162" spans="1:8" x14ac:dyDescent="0.2">
      <c r="A1162" s="310" t="s">
        <v>1319</v>
      </c>
      <c r="B1162" s="310" t="s">
        <v>1371</v>
      </c>
      <c r="C1162" s="309">
        <v>42476</v>
      </c>
      <c r="D1162" s="308" t="s">
        <v>2104</v>
      </c>
      <c r="E1162" s="307">
        <v>1</v>
      </c>
      <c r="F1162" s="311">
        <v>120</v>
      </c>
      <c r="G1162" s="306">
        <f>73+(4)</f>
        <v>77</v>
      </c>
    </row>
    <row r="1163" spans="1:8" x14ac:dyDescent="0.2">
      <c r="A1163" s="310" t="s">
        <v>1313</v>
      </c>
      <c r="B1163" s="310" t="s">
        <v>1373</v>
      </c>
      <c r="C1163" s="309">
        <v>42105</v>
      </c>
      <c r="D1163" s="308" t="s">
        <v>1984</v>
      </c>
      <c r="E1163" s="307">
        <v>1</v>
      </c>
      <c r="F1163" s="311">
        <v>200</v>
      </c>
      <c r="G1163" s="306">
        <f>84-(7)</f>
        <v>77</v>
      </c>
    </row>
    <row r="1164" spans="1:8" x14ac:dyDescent="0.2">
      <c r="A1164" s="310" t="s">
        <v>1313</v>
      </c>
      <c r="B1164" s="310" t="s">
        <v>1361</v>
      </c>
      <c r="C1164" s="309">
        <v>42177</v>
      </c>
      <c r="D1164" s="308" t="s">
        <v>1853</v>
      </c>
      <c r="E1164" s="307">
        <v>1</v>
      </c>
      <c r="F1164" s="311">
        <v>200</v>
      </c>
      <c r="G1164" s="303">
        <f>82-(5)</f>
        <v>77</v>
      </c>
    </row>
    <row r="1165" spans="1:8" x14ac:dyDescent="0.2">
      <c r="A1165" s="310" t="s">
        <v>1313</v>
      </c>
      <c r="B1165" s="310" t="s">
        <v>1373</v>
      </c>
      <c r="C1165" s="309">
        <v>42384</v>
      </c>
      <c r="D1165" s="308" t="s">
        <v>2183</v>
      </c>
      <c r="E1165" s="307">
        <v>1</v>
      </c>
      <c r="F1165" s="311">
        <v>210</v>
      </c>
      <c r="G1165" s="306">
        <f>84-(7)</f>
        <v>77</v>
      </c>
    </row>
    <row r="1166" spans="1:8" x14ac:dyDescent="0.2">
      <c r="A1166" s="310" t="s">
        <v>1313</v>
      </c>
      <c r="B1166" s="310" t="s">
        <v>1361</v>
      </c>
      <c r="C1166" s="309">
        <v>42636</v>
      </c>
      <c r="D1166" s="308" t="s">
        <v>2220</v>
      </c>
      <c r="E1166" s="307">
        <v>1</v>
      </c>
      <c r="F1166" s="311">
        <v>210</v>
      </c>
      <c r="G1166" s="303">
        <f>82-(5)</f>
        <v>77</v>
      </c>
    </row>
    <row r="1167" spans="1:8" x14ac:dyDescent="0.2">
      <c r="A1167" s="310" t="s">
        <v>1374</v>
      </c>
      <c r="B1167" s="310" t="s">
        <v>1369</v>
      </c>
      <c r="C1167" s="309">
        <v>42227</v>
      </c>
      <c r="D1167" s="308" t="s">
        <v>1970</v>
      </c>
      <c r="E1167" s="307">
        <v>1</v>
      </c>
      <c r="F1167" s="311">
        <v>300</v>
      </c>
      <c r="G1167" s="307">
        <v>77</v>
      </c>
      <c r="H1167" s="305"/>
    </row>
    <row r="1168" spans="1:8" x14ac:dyDescent="0.2">
      <c r="A1168" s="310" t="s">
        <v>1372</v>
      </c>
      <c r="B1168" s="310" t="s">
        <v>1365</v>
      </c>
      <c r="C1168" s="309">
        <v>42056</v>
      </c>
      <c r="D1168" s="308" t="s">
        <v>1574</v>
      </c>
      <c r="E1168" s="307">
        <v>1</v>
      </c>
      <c r="F1168" s="311">
        <v>300</v>
      </c>
      <c r="G1168" s="303">
        <f>89-(12)</f>
        <v>77</v>
      </c>
      <c r="H1168" s="305"/>
    </row>
    <row r="1169" spans="1:8" x14ac:dyDescent="0.2">
      <c r="A1169" s="310" t="s">
        <v>1372</v>
      </c>
      <c r="B1169" s="310" t="s">
        <v>1365</v>
      </c>
      <c r="C1169" s="309">
        <v>42056</v>
      </c>
      <c r="D1169" s="308" t="s">
        <v>1797</v>
      </c>
      <c r="E1169" s="307">
        <v>1</v>
      </c>
      <c r="F1169" s="311">
        <v>300</v>
      </c>
      <c r="G1169" s="303">
        <f>89-(12)</f>
        <v>77</v>
      </c>
      <c r="H1169" s="305"/>
    </row>
    <row r="1170" spans="1:8" x14ac:dyDescent="0.2">
      <c r="A1170" s="310" t="s">
        <v>1372</v>
      </c>
      <c r="B1170" s="310" t="s">
        <v>1363</v>
      </c>
      <c r="C1170" s="309">
        <v>42685</v>
      </c>
      <c r="D1170" s="308" t="s">
        <v>2288</v>
      </c>
      <c r="E1170" s="307">
        <v>1</v>
      </c>
      <c r="F1170" s="311">
        <v>310</v>
      </c>
      <c r="G1170" s="307">
        <v>77</v>
      </c>
      <c r="H1170" s="305"/>
    </row>
    <row r="1171" spans="1:8" x14ac:dyDescent="0.2">
      <c r="A1171" s="310" t="s">
        <v>1370</v>
      </c>
      <c r="B1171" s="310" t="s">
        <v>1361</v>
      </c>
      <c r="C1171" s="309">
        <v>42036</v>
      </c>
      <c r="D1171" s="308" t="s">
        <v>1922</v>
      </c>
      <c r="E1171" s="307">
        <v>1</v>
      </c>
      <c r="F1171" s="311">
        <v>500</v>
      </c>
      <c r="G1171" s="303">
        <f>82-(5)</f>
        <v>77</v>
      </c>
      <c r="H1171" s="305"/>
    </row>
    <row r="1172" spans="1:8" x14ac:dyDescent="0.2">
      <c r="A1172" s="310" t="s">
        <v>1370</v>
      </c>
      <c r="B1172" s="310" t="s">
        <v>1361</v>
      </c>
      <c r="C1172" s="309">
        <v>42036</v>
      </c>
      <c r="D1172" s="308" t="s">
        <v>1422</v>
      </c>
      <c r="E1172" s="307">
        <v>1</v>
      </c>
      <c r="F1172" s="311">
        <v>500</v>
      </c>
      <c r="G1172" s="303">
        <f>82-(5)</f>
        <v>77</v>
      </c>
    </row>
    <row r="1173" spans="1:8" x14ac:dyDescent="0.2">
      <c r="A1173" s="310" t="s">
        <v>1370</v>
      </c>
      <c r="B1173" s="310" t="s">
        <v>1373</v>
      </c>
      <c r="C1173" s="309">
        <v>42288</v>
      </c>
      <c r="D1173" s="308" t="s">
        <v>1826</v>
      </c>
      <c r="E1173" s="307">
        <v>1</v>
      </c>
      <c r="F1173" s="311">
        <v>500</v>
      </c>
      <c r="G1173" s="306">
        <f>84-(7)</f>
        <v>77</v>
      </c>
    </row>
    <row r="1174" spans="1:8" x14ac:dyDescent="0.2">
      <c r="A1174" s="310" t="s">
        <v>1370</v>
      </c>
      <c r="B1174" s="310" t="s">
        <v>1373</v>
      </c>
      <c r="C1174" s="309">
        <v>42658</v>
      </c>
      <c r="D1174" s="308" t="s">
        <v>2336</v>
      </c>
      <c r="E1174" s="307">
        <v>1</v>
      </c>
      <c r="F1174" s="311">
        <v>500</v>
      </c>
      <c r="G1174" s="306">
        <f>84-(7)</f>
        <v>77</v>
      </c>
    </row>
    <row r="1175" spans="1:8" x14ac:dyDescent="0.2">
      <c r="A1175" s="310" t="s">
        <v>1368</v>
      </c>
      <c r="B1175" s="310" t="s">
        <v>1367</v>
      </c>
      <c r="C1175" s="309">
        <v>42068</v>
      </c>
      <c r="D1175" s="308" t="s">
        <v>1833</v>
      </c>
      <c r="E1175" s="307">
        <v>1</v>
      </c>
      <c r="F1175" s="311">
        <v>200</v>
      </c>
      <c r="G1175" s="306">
        <v>77</v>
      </c>
    </row>
    <row r="1176" spans="1:8" x14ac:dyDescent="0.2">
      <c r="A1176" s="310" t="s">
        <v>1368</v>
      </c>
      <c r="B1176" s="310" t="s">
        <v>1371</v>
      </c>
      <c r="C1176" s="309">
        <v>42323</v>
      </c>
      <c r="D1176" s="308" t="s">
        <v>1881</v>
      </c>
      <c r="E1176" s="307">
        <v>1</v>
      </c>
      <c r="F1176" s="311">
        <v>200</v>
      </c>
      <c r="G1176" s="306">
        <f>73+(4)</f>
        <v>77</v>
      </c>
      <c r="H1176" s="305"/>
    </row>
    <row r="1177" spans="1:8" x14ac:dyDescent="0.2">
      <c r="A1177" s="310" t="s">
        <v>1368</v>
      </c>
      <c r="B1177" s="310" t="s">
        <v>1371</v>
      </c>
      <c r="C1177" s="309">
        <v>42323</v>
      </c>
      <c r="D1177" s="308" t="s">
        <v>1877</v>
      </c>
      <c r="E1177" s="307">
        <v>1</v>
      </c>
      <c r="F1177" s="311">
        <v>200</v>
      </c>
      <c r="G1177" s="306">
        <f>73+(4)</f>
        <v>77</v>
      </c>
      <c r="H1177" s="305"/>
    </row>
    <row r="1178" spans="1:8" x14ac:dyDescent="0.2">
      <c r="A1178" s="310" t="s">
        <v>1368</v>
      </c>
      <c r="B1178" s="310" t="s">
        <v>1371</v>
      </c>
      <c r="C1178" s="309">
        <v>42323</v>
      </c>
      <c r="D1178" s="308" t="s">
        <v>1875</v>
      </c>
      <c r="E1178" s="307">
        <v>1</v>
      </c>
      <c r="F1178" s="311">
        <v>200</v>
      </c>
      <c r="G1178" s="306">
        <f>73+(4)</f>
        <v>77</v>
      </c>
    </row>
    <row r="1179" spans="1:8" x14ac:dyDescent="0.2">
      <c r="A1179" s="310" t="s">
        <v>1368</v>
      </c>
      <c r="B1179" s="310" t="s">
        <v>1371</v>
      </c>
      <c r="C1179" s="309">
        <v>42340</v>
      </c>
      <c r="D1179" s="308" t="s">
        <v>1646</v>
      </c>
      <c r="E1179" s="307">
        <v>1</v>
      </c>
      <c r="F1179" s="311">
        <v>200</v>
      </c>
      <c r="G1179" s="306">
        <f>73+(4)</f>
        <v>77</v>
      </c>
    </row>
    <row r="1180" spans="1:8" x14ac:dyDescent="0.2">
      <c r="A1180" s="310" t="s">
        <v>1368</v>
      </c>
      <c r="B1180" s="310" t="s">
        <v>1371</v>
      </c>
      <c r="C1180" s="309">
        <v>42340</v>
      </c>
      <c r="D1180" s="308" t="s">
        <v>1482</v>
      </c>
      <c r="E1180" s="307">
        <v>1</v>
      </c>
      <c r="F1180" s="311">
        <v>200</v>
      </c>
      <c r="G1180" s="306">
        <f>73+(4)</f>
        <v>77</v>
      </c>
    </row>
    <row r="1181" spans="1:8" x14ac:dyDescent="0.2">
      <c r="A1181" s="310" t="s">
        <v>1368</v>
      </c>
      <c r="B1181" s="310" t="s">
        <v>1367</v>
      </c>
      <c r="C1181" s="309">
        <v>42439</v>
      </c>
      <c r="D1181" s="308" t="s">
        <v>2469</v>
      </c>
      <c r="E1181" s="307">
        <v>1</v>
      </c>
      <c r="F1181" s="311">
        <v>200</v>
      </c>
      <c r="G1181" s="306">
        <v>77</v>
      </c>
    </row>
    <row r="1182" spans="1:8" x14ac:dyDescent="0.2">
      <c r="A1182" s="310" t="s">
        <v>1368</v>
      </c>
      <c r="B1182" s="310" t="s">
        <v>1367</v>
      </c>
      <c r="C1182" s="309">
        <v>42505</v>
      </c>
      <c r="D1182" s="308" t="s">
        <v>2563</v>
      </c>
      <c r="E1182" s="307">
        <v>1</v>
      </c>
      <c r="F1182" s="311">
        <v>200</v>
      </c>
      <c r="G1182" s="306">
        <v>77</v>
      </c>
    </row>
    <row r="1183" spans="1:8" x14ac:dyDescent="0.2">
      <c r="A1183" s="310" t="s">
        <v>1368</v>
      </c>
      <c r="B1183" s="310" t="s">
        <v>1367</v>
      </c>
      <c r="C1183" s="309">
        <v>42563</v>
      </c>
      <c r="D1183" s="308" t="s">
        <v>2606</v>
      </c>
      <c r="E1183" s="307">
        <v>1</v>
      </c>
      <c r="F1183" s="311">
        <v>200</v>
      </c>
      <c r="G1183" s="306">
        <v>77</v>
      </c>
    </row>
    <row r="1184" spans="1:8" x14ac:dyDescent="0.2">
      <c r="A1184" s="310" t="s">
        <v>1364</v>
      </c>
      <c r="B1184" s="310" t="s">
        <v>1367</v>
      </c>
      <c r="C1184" s="309">
        <v>42091</v>
      </c>
      <c r="D1184" s="308" t="s">
        <v>1396</v>
      </c>
      <c r="E1184" s="307">
        <v>1</v>
      </c>
      <c r="F1184" s="311">
        <v>600</v>
      </c>
      <c r="G1184" s="306">
        <v>77</v>
      </c>
    </row>
    <row r="1185" spans="1:8" x14ac:dyDescent="0.2">
      <c r="A1185" s="310" t="s">
        <v>1364</v>
      </c>
      <c r="B1185" s="310" t="s">
        <v>1371</v>
      </c>
      <c r="C1185" s="309">
        <v>42430</v>
      </c>
      <c r="D1185" s="308" t="s">
        <v>2732</v>
      </c>
      <c r="E1185" s="307">
        <v>1</v>
      </c>
      <c r="F1185" s="311">
        <v>650</v>
      </c>
      <c r="G1185" s="306">
        <f>73+(4)</f>
        <v>77</v>
      </c>
    </row>
    <row r="1186" spans="1:8" x14ac:dyDescent="0.2">
      <c r="A1186" s="310" t="s">
        <v>1364</v>
      </c>
      <c r="B1186" s="310" t="s">
        <v>1371</v>
      </c>
      <c r="C1186" s="309">
        <v>42430</v>
      </c>
      <c r="D1186" s="308" t="s">
        <v>2720</v>
      </c>
      <c r="E1186" s="307">
        <v>1</v>
      </c>
      <c r="F1186" s="311">
        <v>650</v>
      </c>
      <c r="G1186" s="306">
        <f>73+(4)</f>
        <v>77</v>
      </c>
      <c r="H1186" s="305"/>
    </row>
    <row r="1187" spans="1:8" x14ac:dyDescent="0.2">
      <c r="A1187" s="310" t="s">
        <v>1364</v>
      </c>
      <c r="B1187" s="310" t="s">
        <v>1367</v>
      </c>
      <c r="C1187" s="309">
        <v>42638</v>
      </c>
      <c r="D1187" s="308" t="s">
        <v>2790</v>
      </c>
      <c r="E1187" s="307">
        <v>1</v>
      </c>
      <c r="F1187" s="311">
        <v>650</v>
      </c>
      <c r="G1187" s="306">
        <v>77</v>
      </c>
    </row>
    <row r="1188" spans="1:8" x14ac:dyDescent="0.2">
      <c r="A1188" s="310" t="s">
        <v>1364</v>
      </c>
      <c r="B1188" s="310" t="s">
        <v>1367</v>
      </c>
      <c r="C1188" s="309">
        <v>42638</v>
      </c>
      <c r="D1188" s="308" t="s">
        <v>2770</v>
      </c>
      <c r="E1188" s="307">
        <v>1</v>
      </c>
      <c r="F1188" s="311">
        <v>650</v>
      </c>
      <c r="G1188" s="306">
        <v>77</v>
      </c>
    </row>
    <row r="1189" spans="1:8" x14ac:dyDescent="0.2">
      <c r="A1189" s="310" t="s">
        <v>1362</v>
      </c>
      <c r="B1189" s="310" t="s">
        <v>1365</v>
      </c>
      <c r="C1189" s="309">
        <v>42127</v>
      </c>
      <c r="D1189" s="308" t="s">
        <v>1557</v>
      </c>
      <c r="E1189" s="307">
        <v>1</v>
      </c>
      <c r="F1189" s="311">
        <v>400</v>
      </c>
      <c r="G1189" s="303">
        <f>89-(12)</f>
        <v>77</v>
      </c>
    </row>
    <row r="1190" spans="1:8" x14ac:dyDescent="0.2">
      <c r="A1190" s="310" t="s">
        <v>1362</v>
      </c>
      <c r="B1190" s="310" t="s">
        <v>1365</v>
      </c>
      <c r="C1190" s="309">
        <v>42592</v>
      </c>
      <c r="D1190" s="308" t="s">
        <v>2806</v>
      </c>
      <c r="E1190" s="307">
        <v>1</v>
      </c>
      <c r="F1190" s="311">
        <v>400</v>
      </c>
      <c r="G1190" s="303">
        <f>89-(12)</f>
        <v>77</v>
      </c>
    </row>
    <row r="1191" spans="1:8" x14ac:dyDescent="0.2">
      <c r="A1191" s="310" t="s">
        <v>1359</v>
      </c>
      <c r="B1191" s="310" t="s">
        <v>1363</v>
      </c>
      <c r="C1191" s="309">
        <v>42064</v>
      </c>
      <c r="D1191" s="308" t="s">
        <v>1526</v>
      </c>
      <c r="E1191" s="307">
        <v>1</v>
      </c>
      <c r="F1191" s="311">
        <v>400</v>
      </c>
      <c r="G1191" s="307">
        <v>77</v>
      </c>
      <c r="H1191" s="305"/>
    </row>
    <row r="1192" spans="1:8" x14ac:dyDescent="0.2">
      <c r="A1192" s="310" t="s">
        <v>1359</v>
      </c>
      <c r="B1192" s="310" t="s">
        <v>1363</v>
      </c>
      <c r="C1192" s="309">
        <v>42064</v>
      </c>
      <c r="D1192" s="308" t="s">
        <v>1509</v>
      </c>
      <c r="E1192" s="307">
        <v>1</v>
      </c>
      <c r="F1192" s="311">
        <v>400</v>
      </c>
      <c r="G1192" s="307">
        <v>77</v>
      </c>
      <c r="H1192" s="305"/>
    </row>
    <row r="1193" spans="1:8" x14ac:dyDescent="0.2">
      <c r="A1193" s="310" t="s">
        <v>1359</v>
      </c>
      <c r="B1193" s="310" t="s">
        <v>1363</v>
      </c>
      <c r="C1193" s="309">
        <v>42424</v>
      </c>
      <c r="D1193" s="308" t="s">
        <v>2947</v>
      </c>
      <c r="E1193" s="307">
        <v>1</v>
      </c>
      <c r="F1193" s="311">
        <v>400</v>
      </c>
      <c r="G1193" s="307">
        <v>77</v>
      </c>
      <c r="H1193" s="305"/>
    </row>
    <row r="1194" spans="1:8" x14ac:dyDescent="0.2">
      <c r="A1194" s="310" t="s">
        <v>1358</v>
      </c>
      <c r="B1194" s="310" t="s">
        <v>1375</v>
      </c>
      <c r="C1194" s="309">
        <v>42037</v>
      </c>
      <c r="D1194" s="308" t="s">
        <v>1460</v>
      </c>
      <c r="E1194" s="307">
        <v>1</v>
      </c>
      <c r="F1194" s="311">
        <v>300</v>
      </c>
      <c r="G1194" s="307">
        <v>77</v>
      </c>
    </row>
    <row r="1195" spans="1:8" x14ac:dyDescent="0.2">
      <c r="A1195" s="310" t="s">
        <v>1358</v>
      </c>
      <c r="B1195" s="310" t="s">
        <v>1375</v>
      </c>
      <c r="C1195" s="309">
        <v>42289</v>
      </c>
      <c r="D1195" s="308" t="s">
        <v>1421</v>
      </c>
      <c r="E1195" s="307">
        <v>1</v>
      </c>
      <c r="F1195" s="311">
        <v>300</v>
      </c>
      <c r="G1195" s="307">
        <v>77</v>
      </c>
    </row>
    <row r="1196" spans="1:8" x14ac:dyDescent="0.2">
      <c r="A1196" s="310" t="s">
        <v>1358</v>
      </c>
      <c r="B1196" s="310" t="s">
        <v>1375</v>
      </c>
      <c r="C1196" s="309">
        <v>42289</v>
      </c>
      <c r="D1196" s="308" t="s">
        <v>1409</v>
      </c>
      <c r="E1196" s="307">
        <v>1</v>
      </c>
      <c r="F1196" s="311">
        <v>300</v>
      </c>
      <c r="G1196" s="307">
        <v>77</v>
      </c>
    </row>
    <row r="1197" spans="1:8" x14ac:dyDescent="0.2">
      <c r="A1197" s="310" t="s">
        <v>1358</v>
      </c>
      <c r="B1197" s="310" t="s">
        <v>1375</v>
      </c>
      <c r="C1197" s="309">
        <v>42460</v>
      </c>
      <c r="D1197" s="308" t="s">
        <v>3025</v>
      </c>
      <c r="E1197" s="307">
        <v>1</v>
      </c>
      <c r="F1197" s="311">
        <v>320</v>
      </c>
      <c r="G1197" s="307">
        <v>77</v>
      </c>
    </row>
    <row r="1198" spans="1:8" x14ac:dyDescent="0.2">
      <c r="A1198" s="310" t="s">
        <v>1358</v>
      </c>
      <c r="B1198" s="310" t="s">
        <v>1375</v>
      </c>
      <c r="C1198" s="309">
        <v>42544</v>
      </c>
      <c r="D1198" s="308" t="s">
        <v>3039</v>
      </c>
      <c r="E1198" s="307">
        <v>1</v>
      </c>
      <c r="F1198" s="311">
        <v>320</v>
      </c>
      <c r="G1198" s="307">
        <v>77</v>
      </c>
      <c r="H1198" s="305"/>
    </row>
    <row r="1199" spans="1:8" x14ac:dyDescent="0.2">
      <c r="A1199" s="310" t="s">
        <v>1358</v>
      </c>
      <c r="B1199" s="310" t="s">
        <v>1375</v>
      </c>
      <c r="C1199" s="309">
        <v>42544</v>
      </c>
      <c r="D1199" s="308" t="s">
        <v>3044</v>
      </c>
      <c r="E1199" s="307">
        <v>1</v>
      </c>
      <c r="F1199" s="311">
        <v>320</v>
      </c>
      <c r="G1199" s="307">
        <v>77</v>
      </c>
      <c r="H1199" s="305"/>
    </row>
    <row r="1200" spans="1:8" x14ac:dyDescent="0.2">
      <c r="A1200" s="310" t="s">
        <v>1358</v>
      </c>
      <c r="B1200" s="310" t="s">
        <v>1375</v>
      </c>
      <c r="C1200" s="309">
        <v>42544</v>
      </c>
      <c r="D1200" s="308" t="s">
        <v>3042</v>
      </c>
      <c r="E1200" s="307">
        <v>1</v>
      </c>
      <c r="F1200" s="311">
        <v>320</v>
      </c>
      <c r="G1200" s="307">
        <v>77</v>
      </c>
      <c r="H1200" s="305"/>
    </row>
    <row r="1201" spans="1:8" x14ac:dyDescent="0.2">
      <c r="A1201" s="310" t="s">
        <v>1319</v>
      </c>
      <c r="B1201" s="310" t="s">
        <v>1373</v>
      </c>
      <c r="C1201" s="309">
        <v>42084</v>
      </c>
      <c r="D1201" s="308" t="s">
        <v>1547</v>
      </c>
      <c r="E1201" s="307">
        <v>1</v>
      </c>
      <c r="F1201" s="311">
        <v>100</v>
      </c>
      <c r="G1201" s="306">
        <f>85-(7)</f>
        <v>78</v>
      </c>
    </row>
    <row r="1202" spans="1:8" x14ac:dyDescent="0.2">
      <c r="A1202" s="310" t="s">
        <v>1319</v>
      </c>
      <c r="B1202" s="310" t="s">
        <v>1371</v>
      </c>
      <c r="C1202" s="309">
        <v>42258</v>
      </c>
      <c r="D1202" s="308" t="s">
        <v>2012</v>
      </c>
      <c r="E1202" s="307">
        <v>1</v>
      </c>
      <c r="F1202" s="311">
        <v>100</v>
      </c>
      <c r="G1202" s="306">
        <f>74+(4)</f>
        <v>78</v>
      </c>
    </row>
    <row r="1203" spans="1:8" x14ac:dyDescent="0.2">
      <c r="A1203" s="310" t="s">
        <v>1319</v>
      </c>
      <c r="B1203" s="310" t="s">
        <v>1371</v>
      </c>
      <c r="C1203" s="309">
        <v>42258</v>
      </c>
      <c r="D1203" s="308" t="s">
        <v>1787</v>
      </c>
      <c r="E1203" s="307">
        <v>1</v>
      </c>
      <c r="F1203" s="311">
        <v>100</v>
      </c>
      <c r="G1203" s="306">
        <f>74+(4)</f>
        <v>78</v>
      </c>
    </row>
    <row r="1204" spans="1:8" x14ac:dyDescent="0.2">
      <c r="A1204" s="310" t="s">
        <v>1319</v>
      </c>
      <c r="B1204" s="310" t="s">
        <v>1367</v>
      </c>
      <c r="C1204" s="309">
        <v>42332</v>
      </c>
      <c r="D1204" s="308" t="s">
        <v>1494</v>
      </c>
      <c r="E1204" s="307">
        <v>1</v>
      </c>
      <c r="F1204" s="311">
        <v>100</v>
      </c>
      <c r="G1204" s="306">
        <v>78</v>
      </c>
    </row>
    <row r="1205" spans="1:8" x14ac:dyDescent="0.2">
      <c r="A1205" s="310" t="s">
        <v>1319</v>
      </c>
      <c r="B1205" s="310" t="s">
        <v>1373</v>
      </c>
      <c r="C1205" s="309">
        <v>42415</v>
      </c>
      <c r="D1205" s="308" t="s">
        <v>2068</v>
      </c>
      <c r="E1205" s="307">
        <v>1</v>
      </c>
      <c r="F1205" s="311">
        <v>120</v>
      </c>
      <c r="G1205" s="306">
        <f>85-(7)</f>
        <v>78</v>
      </c>
    </row>
    <row r="1206" spans="1:8" x14ac:dyDescent="0.2">
      <c r="A1206" s="310" t="s">
        <v>1313</v>
      </c>
      <c r="B1206" s="310" t="s">
        <v>1373</v>
      </c>
      <c r="C1206" s="309">
        <v>42384</v>
      </c>
      <c r="D1206" s="308" t="s">
        <v>2177</v>
      </c>
      <c r="E1206" s="307">
        <v>1</v>
      </c>
      <c r="F1206" s="311">
        <v>210</v>
      </c>
      <c r="G1206" s="306">
        <f>85-(7)</f>
        <v>78</v>
      </c>
      <c r="H1206" s="305"/>
    </row>
    <row r="1207" spans="1:8" x14ac:dyDescent="0.2">
      <c r="A1207" s="310" t="s">
        <v>1313</v>
      </c>
      <c r="B1207" s="310" t="s">
        <v>1361</v>
      </c>
      <c r="C1207" s="309">
        <v>42636</v>
      </c>
      <c r="D1207" s="308" t="s">
        <v>2199</v>
      </c>
      <c r="E1207" s="307">
        <v>1</v>
      </c>
      <c r="F1207" s="311">
        <v>210</v>
      </c>
      <c r="G1207" s="303">
        <f>83-(5)</f>
        <v>78</v>
      </c>
      <c r="H1207" s="305"/>
    </row>
    <row r="1208" spans="1:8" x14ac:dyDescent="0.2">
      <c r="A1208" s="310" t="s">
        <v>1374</v>
      </c>
      <c r="B1208" s="310" t="s">
        <v>1369</v>
      </c>
      <c r="C1208" s="309">
        <v>42227</v>
      </c>
      <c r="D1208" s="308" t="s">
        <v>1749</v>
      </c>
      <c r="E1208" s="307">
        <v>1</v>
      </c>
      <c r="F1208" s="311">
        <v>300</v>
      </c>
      <c r="G1208" s="307">
        <v>78</v>
      </c>
    </row>
    <row r="1209" spans="1:8" x14ac:dyDescent="0.2">
      <c r="A1209" s="310" t="s">
        <v>1372</v>
      </c>
      <c r="B1209" s="310" t="s">
        <v>1363</v>
      </c>
      <c r="C1209" s="309">
        <v>42685</v>
      </c>
      <c r="D1209" s="308" t="s">
        <v>2299</v>
      </c>
      <c r="E1209" s="307">
        <v>1</v>
      </c>
      <c r="F1209" s="311">
        <v>310</v>
      </c>
      <c r="G1209" s="307">
        <v>78</v>
      </c>
    </row>
    <row r="1210" spans="1:8" x14ac:dyDescent="0.2">
      <c r="A1210" s="310" t="s">
        <v>1372</v>
      </c>
      <c r="B1210" s="310" t="s">
        <v>1363</v>
      </c>
      <c r="C1210" s="309">
        <v>42685</v>
      </c>
      <c r="D1210" s="308" t="s">
        <v>2302</v>
      </c>
      <c r="E1210" s="307">
        <v>1</v>
      </c>
      <c r="F1210" s="311">
        <v>310</v>
      </c>
      <c r="G1210" s="307">
        <v>78</v>
      </c>
    </row>
    <row r="1211" spans="1:8" x14ac:dyDescent="0.2">
      <c r="A1211" s="310" t="s">
        <v>1370</v>
      </c>
      <c r="B1211" s="310" t="s">
        <v>1361</v>
      </c>
      <c r="C1211" s="309">
        <v>42447</v>
      </c>
      <c r="D1211" s="308" t="s">
        <v>2374</v>
      </c>
      <c r="E1211" s="307">
        <v>1</v>
      </c>
      <c r="F1211" s="311">
        <v>500</v>
      </c>
      <c r="G1211" s="303">
        <f>83-(5)</f>
        <v>78</v>
      </c>
    </row>
    <row r="1212" spans="1:8" x14ac:dyDescent="0.2">
      <c r="A1212" s="310" t="s">
        <v>1368</v>
      </c>
      <c r="B1212" s="310" t="s">
        <v>1367</v>
      </c>
      <c r="C1212" s="309">
        <v>42068</v>
      </c>
      <c r="D1212" s="308" t="s">
        <v>1832</v>
      </c>
      <c r="E1212" s="307">
        <v>1</v>
      </c>
      <c r="F1212" s="311">
        <v>200</v>
      </c>
      <c r="G1212" s="306">
        <v>78</v>
      </c>
    </row>
    <row r="1213" spans="1:8" x14ac:dyDescent="0.2">
      <c r="A1213" s="310" t="s">
        <v>1368</v>
      </c>
      <c r="B1213" s="310" t="s">
        <v>1367</v>
      </c>
      <c r="C1213" s="309">
        <v>42170</v>
      </c>
      <c r="D1213" s="308" t="s">
        <v>1809</v>
      </c>
      <c r="E1213" s="307">
        <v>1</v>
      </c>
      <c r="F1213" s="311">
        <v>200</v>
      </c>
      <c r="G1213" s="306">
        <v>78</v>
      </c>
    </row>
    <row r="1214" spans="1:8" x14ac:dyDescent="0.2">
      <c r="A1214" s="310" t="s">
        <v>1368</v>
      </c>
      <c r="B1214" s="310" t="s">
        <v>1367</v>
      </c>
      <c r="C1214" s="309">
        <v>42170</v>
      </c>
      <c r="D1214" s="308" t="s">
        <v>1786</v>
      </c>
      <c r="E1214" s="307">
        <v>1</v>
      </c>
      <c r="F1214" s="311">
        <v>200</v>
      </c>
      <c r="G1214" s="306">
        <v>78</v>
      </c>
    </row>
    <row r="1215" spans="1:8" x14ac:dyDescent="0.2">
      <c r="A1215" s="310" t="s">
        <v>1368</v>
      </c>
      <c r="B1215" s="310" t="s">
        <v>1367</v>
      </c>
      <c r="C1215" s="309">
        <v>42170</v>
      </c>
      <c r="D1215" s="308" t="s">
        <v>1772</v>
      </c>
      <c r="E1215" s="307">
        <v>1</v>
      </c>
      <c r="F1215" s="311">
        <v>200</v>
      </c>
      <c r="G1215" s="306">
        <v>78</v>
      </c>
    </row>
    <row r="1216" spans="1:8" x14ac:dyDescent="0.2">
      <c r="A1216" s="310" t="s">
        <v>1368</v>
      </c>
      <c r="B1216" s="310" t="s">
        <v>1367</v>
      </c>
      <c r="C1216" s="309">
        <v>42563</v>
      </c>
      <c r="D1216" s="308" t="s">
        <v>2600</v>
      </c>
      <c r="E1216" s="307">
        <v>1</v>
      </c>
      <c r="F1216" s="311">
        <v>200</v>
      </c>
      <c r="G1216" s="306">
        <v>78</v>
      </c>
    </row>
    <row r="1217" spans="1:8" x14ac:dyDescent="0.2">
      <c r="A1217" s="310" t="s">
        <v>1366</v>
      </c>
      <c r="B1217" s="310" t="s">
        <v>1376</v>
      </c>
      <c r="C1217" s="309">
        <v>42259</v>
      </c>
      <c r="D1217" s="308" t="s">
        <v>1735</v>
      </c>
      <c r="E1217" s="307">
        <v>1</v>
      </c>
      <c r="F1217" s="311">
        <v>350</v>
      </c>
      <c r="G1217" s="306">
        <v>78</v>
      </c>
    </row>
    <row r="1218" spans="1:8" x14ac:dyDescent="0.2">
      <c r="A1218" s="310" t="s">
        <v>1366</v>
      </c>
      <c r="B1218" s="310" t="s">
        <v>1376</v>
      </c>
      <c r="C1218" s="309">
        <v>42562</v>
      </c>
      <c r="D1218" s="308" t="s">
        <v>2692</v>
      </c>
      <c r="E1218" s="307">
        <v>1</v>
      </c>
      <c r="F1218" s="311">
        <v>380</v>
      </c>
      <c r="G1218" s="306">
        <v>78</v>
      </c>
    </row>
    <row r="1219" spans="1:8" x14ac:dyDescent="0.2">
      <c r="A1219" s="310" t="s">
        <v>1364</v>
      </c>
      <c r="B1219" s="310" t="s">
        <v>1367</v>
      </c>
      <c r="C1219" s="309">
        <v>42638</v>
      </c>
      <c r="D1219" s="308" t="s">
        <v>2789</v>
      </c>
      <c r="E1219" s="307">
        <v>1</v>
      </c>
      <c r="F1219" s="311">
        <v>650</v>
      </c>
      <c r="G1219" s="306">
        <v>78</v>
      </c>
    </row>
    <row r="1220" spans="1:8" x14ac:dyDescent="0.2">
      <c r="A1220" s="310" t="s">
        <v>1364</v>
      </c>
      <c r="B1220" s="310" t="s">
        <v>1367</v>
      </c>
      <c r="C1220" s="309">
        <v>42638</v>
      </c>
      <c r="D1220" s="308" t="s">
        <v>2793</v>
      </c>
      <c r="E1220" s="307">
        <v>1</v>
      </c>
      <c r="F1220" s="311">
        <v>650</v>
      </c>
      <c r="G1220" s="306">
        <v>78</v>
      </c>
      <c r="H1220" s="305"/>
    </row>
    <row r="1221" spans="1:8" x14ac:dyDescent="0.2">
      <c r="A1221" s="310" t="s">
        <v>1362</v>
      </c>
      <c r="B1221" s="310" t="s">
        <v>1365</v>
      </c>
      <c r="C1221" s="309">
        <v>42058</v>
      </c>
      <c r="D1221" s="308" t="s">
        <v>1639</v>
      </c>
      <c r="E1221" s="307">
        <v>1</v>
      </c>
      <c r="F1221" s="311">
        <v>400</v>
      </c>
      <c r="G1221" s="303">
        <f t="shared" ref="G1221:G1226" si="10">90-(12)</f>
        <v>78</v>
      </c>
    </row>
    <row r="1222" spans="1:8" x14ac:dyDescent="0.2">
      <c r="A1222" s="310" t="s">
        <v>1362</v>
      </c>
      <c r="B1222" s="310" t="s">
        <v>1365</v>
      </c>
      <c r="C1222" s="309">
        <v>42058</v>
      </c>
      <c r="D1222" s="308" t="s">
        <v>1628</v>
      </c>
      <c r="E1222" s="307">
        <v>1</v>
      </c>
      <c r="F1222" s="311">
        <v>400</v>
      </c>
      <c r="G1222" s="303">
        <f t="shared" si="10"/>
        <v>78</v>
      </c>
      <c r="H1222" s="305"/>
    </row>
    <row r="1223" spans="1:8" x14ac:dyDescent="0.2">
      <c r="A1223" s="310" t="s">
        <v>1362</v>
      </c>
      <c r="B1223" s="310" t="s">
        <v>1365</v>
      </c>
      <c r="C1223" s="309">
        <v>42127</v>
      </c>
      <c r="D1223" s="308" t="s">
        <v>1585</v>
      </c>
      <c r="E1223" s="307">
        <v>1</v>
      </c>
      <c r="F1223" s="311">
        <v>400</v>
      </c>
      <c r="G1223" s="303">
        <f t="shared" si="10"/>
        <v>78</v>
      </c>
      <c r="H1223" s="305"/>
    </row>
    <row r="1224" spans="1:8" x14ac:dyDescent="0.2">
      <c r="A1224" s="310" t="s">
        <v>1362</v>
      </c>
      <c r="B1224" s="310" t="s">
        <v>1365</v>
      </c>
      <c r="C1224" s="309">
        <v>42592</v>
      </c>
      <c r="D1224" s="308" t="s">
        <v>2808</v>
      </c>
      <c r="E1224" s="307">
        <v>1</v>
      </c>
      <c r="F1224" s="311">
        <v>400</v>
      </c>
      <c r="G1224" s="303">
        <f t="shared" si="10"/>
        <v>78</v>
      </c>
      <c r="H1224" s="305"/>
    </row>
    <row r="1225" spans="1:8" x14ac:dyDescent="0.2">
      <c r="A1225" s="310" t="s">
        <v>1362</v>
      </c>
      <c r="B1225" s="310" t="s">
        <v>1365</v>
      </c>
      <c r="C1225" s="309">
        <v>42592</v>
      </c>
      <c r="D1225" s="308" t="s">
        <v>2816</v>
      </c>
      <c r="E1225" s="307">
        <v>1</v>
      </c>
      <c r="F1225" s="311">
        <v>400</v>
      </c>
      <c r="G1225" s="303">
        <f t="shared" si="10"/>
        <v>78</v>
      </c>
      <c r="H1225" s="305"/>
    </row>
    <row r="1226" spans="1:8" x14ac:dyDescent="0.2">
      <c r="A1226" s="310" t="s">
        <v>1362</v>
      </c>
      <c r="B1226" s="310" t="s">
        <v>1365</v>
      </c>
      <c r="C1226" s="309">
        <v>42654</v>
      </c>
      <c r="D1226" s="308" t="s">
        <v>2908</v>
      </c>
      <c r="E1226" s="307">
        <v>1</v>
      </c>
      <c r="F1226" s="311">
        <v>400</v>
      </c>
      <c r="G1226" s="303">
        <f t="shared" si="10"/>
        <v>78</v>
      </c>
      <c r="H1226" s="305"/>
    </row>
    <row r="1227" spans="1:8" x14ac:dyDescent="0.2">
      <c r="A1227" s="310" t="s">
        <v>1360</v>
      </c>
      <c r="B1227" s="310" t="s">
        <v>1371</v>
      </c>
      <c r="C1227" s="309">
        <v>42022</v>
      </c>
      <c r="D1227" s="308" t="s">
        <v>1567</v>
      </c>
      <c r="E1227" s="307">
        <v>1</v>
      </c>
      <c r="F1227" s="311">
        <v>250</v>
      </c>
      <c r="G1227" s="306">
        <f>74+(4)</f>
        <v>78</v>
      </c>
      <c r="H1227" s="305"/>
    </row>
    <row r="1228" spans="1:8" x14ac:dyDescent="0.2">
      <c r="A1228" s="310" t="s">
        <v>1360</v>
      </c>
      <c r="B1228" s="310" t="s">
        <v>1371</v>
      </c>
      <c r="C1228" s="309">
        <v>42504</v>
      </c>
      <c r="D1228" s="308" t="s">
        <v>2916</v>
      </c>
      <c r="E1228" s="307">
        <v>1</v>
      </c>
      <c r="F1228" s="311">
        <v>275</v>
      </c>
      <c r="G1228" s="306">
        <f>74+(4)</f>
        <v>78</v>
      </c>
      <c r="H1228" s="305"/>
    </row>
    <row r="1229" spans="1:8" x14ac:dyDescent="0.2">
      <c r="A1229" s="310" t="s">
        <v>1359</v>
      </c>
      <c r="B1229" s="310" t="s">
        <v>1363</v>
      </c>
      <c r="C1229" s="309">
        <v>42064</v>
      </c>
      <c r="D1229" s="308" t="s">
        <v>1528</v>
      </c>
      <c r="E1229" s="307">
        <v>1</v>
      </c>
      <c r="F1229" s="311">
        <v>400</v>
      </c>
      <c r="G1229" s="307">
        <v>78</v>
      </c>
    </row>
    <row r="1230" spans="1:8" x14ac:dyDescent="0.2">
      <c r="A1230" s="310" t="s">
        <v>1359</v>
      </c>
      <c r="B1230" s="310" t="s">
        <v>1363</v>
      </c>
      <c r="C1230" s="309">
        <v>42424</v>
      </c>
      <c r="D1230" s="308" t="s">
        <v>2950</v>
      </c>
      <c r="E1230" s="307">
        <v>1</v>
      </c>
      <c r="F1230" s="311">
        <v>400</v>
      </c>
      <c r="G1230" s="307">
        <v>78</v>
      </c>
    </row>
    <row r="1231" spans="1:8" x14ac:dyDescent="0.2">
      <c r="A1231" s="310" t="s">
        <v>1359</v>
      </c>
      <c r="B1231" s="310" t="s">
        <v>1363</v>
      </c>
      <c r="C1231" s="309">
        <v>42623</v>
      </c>
      <c r="D1231" s="308" t="s">
        <v>2991</v>
      </c>
      <c r="E1231" s="307">
        <v>1</v>
      </c>
      <c r="F1231" s="311">
        <v>400</v>
      </c>
      <c r="G1231" s="307">
        <v>78</v>
      </c>
    </row>
    <row r="1232" spans="1:8" x14ac:dyDescent="0.2">
      <c r="A1232" s="310" t="s">
        <v>1358</v>
      </c>
      <c r="B1232" s="310" t="s">
        <v>1375</v>
      </c>
      <c r="C1232" s="309">
        <v>42460</v>
      </c>
      <c r="D1232" s="308" t="s">
        <v>3005</v>
      </c>
      <c r="E1232" s="307">
        <v>1</v>
      </c>
      <c r="F1232" s="311">
        <v>320</v>
      </c>
      <c r="G1232" s="307">
        <v>78</v>
      </c>
    </row>
    <row r="1233" spans="1:8" x14ac:dyDescent="0.2">
      <c r="A1233" s="310" t="s">
        <v>1358</v>
      </c>
      <c r="B1233" s="310" t="s">
        <v>1375</v>
      </c>
      <c r="C1233" s="309">
        <v>42460</v>
      </c>
      <c r="D1233" s="308" t="s">
        <v>3022</v>
      </c>
      <c r="E1233" s="307">
        <v>1</v>
      </c>
      <c r="F1233" s="311">
        <v>320</v>
      </c>
      <c r="G1233" s="307">
        <v>78</v>
      </c>
      <c r="H1233" s="305"/>
    </row>
    <row r="1234" spans="1:8" x14ac:dyDescent="0.2">
      <c r="A1234" s="310" t="s">
        <v>1358</v>
      </c>
      <c r="B1234" s="310" t="s">
        <v>1375</v>
      </c>
      <c r="C1234" s="309">
        <v>42460</v>
      </c>
      <c r="D1234" s="308" t="s">
        <v>3024</v>
      </c>
      <c r="E1234" s="307">
        <v>1</v>
      </c>
      <c r="F1234" s="311">
        <v>320</v>
      </c>
      <c r="G1234" s="307">
        <v>78</v>
      </c>
      <c r="H1234" s="305"/>
    </row>
    <row r="1235" spans="1:8" x14ac:dyDescent="0.2">
      <c r="A1235" s="310" t="s">
        <v>1358</v>
      </c>
      <c r="B1235" s="310" t="s">
        <v>1375</v>
      </c>
      <c r="C1235" s="309">
        <v>42544</v>
      </c>
      <c r="D1235" s="308" t="s">
        <v>3041</v>
      </c>
      <c r="E1235" s="307">
        <v>1</v>
      </c>
      <c r="F1235" s="311">
        <v>320</v>
      </c>
      <c r="G1235" s="307">
        <v>78</v>
      </c>
      <c r="H1235" s="305"/>
    </row>
    <row r="1236" spans="1:8" x14ac:dyDescent="0.2">
      <c r="A1236" s="310" t="s">
        <v>1319</v>
      </c>
      <c r="B1236" s="310" t="s">
        <v>1361</v>
      </c>
      <c r="C1236" s="309">
        <v>42019</v>
      </c>
      <c r="D1236" s="308" t="s">
        <v>1541</v>
      </c>
      <c r="E1236" s="307">
        <v>1</v>
      </c>
      <c r="F1236" s="311">
        <v>100</v>
      </c>
      <c r="G1236" s="303">
        <f>84-(5)</f>
        <v>79</v>
      </c>
      <c r="H1236" s="305"/>
    </row>
    <row r="1237" spans="1:8" x14ac:dyDescent="0.2">
      <c r="A1237" s="310" t="s">
        <v>1319</v>
      </c>
      <c r="B1237" s="310" t="s">
        <v>1367</v>
      </c>
      <c r="C1237" s="309">
        <v>42332</v>
      </c>
      <c r="D1237" s="308" t="s">
        <v>1993</v>
      </c>
      <c r="E1237" s="307">
        <v>1</v>
      </c>
      <c r="F1237" s="311">
        <v>100</v>
      </c>
      <c r="G1237" s="306">
        <v>79</v>
      </c>
      <c r="H1237" s="305"/>
    </row>
    <row r="1238" spans="1:8" x14ac:dyDescent="0.2">
      <c r="A1238" s="310" t="s">
        <v>1319</v>
      </c>
      <c r="B1238" s="310" t="s">
        <v>1371</v>
      </c>
      <c r="C1238" s="309">
        <v>42476</v>
      </c>
      <c r="D1238" s="308" t="s">
        <v>2097</v>
      </c>
      <c r="E1238" s="307">
        <v>1</v>
      </c>
      <c r="F1238" s="311">
        <v>120</v>
      </c>
      <c r="G1238" s="306">
        <f>75+(4)</f>
        <v>79</v>
      </c>
      <c r="H1238" s="305"/>
    </row>
    <row r="1239" spans="1:8" x14ac:dyDescent="0.2">
      <c r="A1239" s="310" t="s">
        <v>1313</v>
      </c>
      <c r="B1239" s="310" t="s">
        <v>1361</v>
      </c>
      <c r="C1239" s="309">
        <v>42636</v>
      </c>
      <c r="D1239" s="308" t="s">
        <v>2205</v>
      </c>
      <c r="E1239" s="307">
        <v>1</v>
      </c>
      <c r="F1239" s="311">
        <v>210</v>
      </c>
      <c r="G1239" s="303">
        <f>84-(5)</f>
        <v>79</v>
      </c>
      <c r="H1239" s="305"/>
    </row>
    <row r="1240" spans="1:8" x14ac:dyDescent="0.2">
      <c r="A1240" s="310" t="s">
        <v>1372</v>
      </c>
      <c r="B1240" s="310" t="s">
        <v>1365</v>
      </c>
      <c r="C1240" s="309">
        <v>42056</v>
      </c>
      <c r="D1240" s="308" t="s">
        <v>1958</v>
      </c>
      <c r="E1240" s="307">
        <v>1</v>
      </c>
      <c r="F1240" s="311">
        <v>300</v>
      </c>
      <c r="G1240" s="303">
        <f>91-(12)</f>
        <v>79</v>
      </c>
    </row>
    <row r="1241" spans="1:8" x14ac:dyDescent="0.2">
      <c r="A1241" s="310" t="s">
        <v>1372</v>
      </c>
      <c r="B1241" s="310" t="s">
        <v>1365</v>
      </c>
      <c r="C1241" s="309">
        <v>42056</v>
      </c>
      <c r="D1241" s="308" t="s">
        <v>1951</v>
      </c>
      <c r="E1241" s="307">
        <v>1</v>
      </c>
      <c r="F1241" s="311">
        <v>300</v>
      </c>
      <c r="G1241" s="303">
        <f>91-(12)</f>
        <v>79</v>
      </c>
    </row>
    <row r="1242" spans="1:8" x14ac:dyDescent="0.2">
      <c r="A1242" s="310" t="s">
        <v>1372</v>
      </c>
      <c r="B1242" s="310" t="s">
        <v>1365</v>
      </c>
      <c r="C1242" s="309">
        <v>42056</v>
      </c>
      <c r="D1242" s="308" t="s">
        <v>1393</v>
      </c>
      <c r="E1242" s="307">
        <v>1</v>
      </c>
      <c r="F1242" s="311">
        <v>300</v>
      </c>
      <c r="G1242" s="303">
        <f>91-(12)</f>
        <v>79</v>
      </c>
    </row>
    <row r="1243" spans="1:8" x14ac:dyDescent="0.2">
      <c r="A1243" s="310" t="s">
        <v>1372</v>
      </c>
      <c r="B1243" s="310" t="s">
        <v>1363</v>
      </c>
      <c r="C1243" s="309">
        <v>42685</v>
      </c>
      <c r="D1243" s="308" t="s">
        <v>2290</v>
      </c>
      <c r="E1243" s="307">
        <v>1</v>
      </c>
      <c r="F1243" s="311">
        <v>310</v>
      </c>
      <c r="G1243" s="307">
        <v>79</v>
      </c>
    </row>
    <row r="1244" spans="1:8" x14ac:dyDescent="0.2">
      <c r="A1244" s="310" t="s">
        <v>1372</v>
      </c>
      <c r="B1244" s="310" t="s">
        <v>1363</v>
      </c>
      <c r="C1244" s="309">
        <v>42685</v>
      </c>
      <c r="D1244" s="308" t="s">
        <v>2282</v>
      </c>
      <c r="E1244" s="307">
        <v>1</v>
      </c>
      <c r="F1244" s="311">
        <v>310</v>
      </c>
      <c r="G1244" s="307">
        <v>79</v>
      </c>
    </row>
    <row r="1245" spans="1:8" x14ac:dyDescent="0.2">
      <c r="A1245" s="310" t="s">
        <v>1372</v>
      </c>
      <c r="B1245" s="310" t="s">
        <v>1363</v>
      </c>
      <c r="C1245" s="309">
        <v>42685</v>
      </c>
      <c r="D1245" s="308" t="s">
        <v>2308</v>
      </c>
      <c r="E1245" s="307">
        <v>1</v>
      </c>
      <c r="F1245" s="311">
        <v>310</v>
      </c>
      <c r="G1245" s="307">
        <v>79</v>
      </c>
      <c r="H1245" s="305"/>
    </row>
    <row r="1246" spans="1:8" x14ac:dyDescent="0.2">
      <c r="A1246" s="310" t="s">
        <v>1370</v>
      </c>
      <c r="B1246" s="310" t="s">
        <v>1361</v>
      </c>
      <c r="C1246" s="309">
        <v>42036</v>
      </c>
      <c r="D1246" s="308" t="s">
        <v>1437</v>
      </c>
      <c r="E1246" s="307">
        <v>1</v>
      </c>
      <c r="F1246" s="311">
        <v>500</v>
      </c>
      <c r="G1246" s="303">
        <f>84-(5)</f>
        <v>79</v>
      </c>
    </row>
    <row r="1247" spans="1:8" x14ac:dyDescent="0.2">
      <c r="A1247" s="310" t="s">
        <v>1370</v>
      </c>
      <c r="B1247" s="310" t="s">
        <v>1361</v>
      </c>
      <c r="C1247" s="309">
        <v>42036</v>
      </c>
      <c r="D1247" s="308" t="s">
        <v>1510</v>
      </c>
      <c r="E1247" s="307">
        <v>1</v>
      </c>
      <c r="F1247" s="311">
        <v>500</v>
      </c>
      <c r="G1247" s="303">
        <f>84-(5)</f>
        <v>79</v>
      </c>
    </row>
    <row r="1248" spans="1:8" x14ac:dyDescent="0.2">
      <c r="A1248" s="310" t="s">
        <v>1370</v>
      </c>
      <c r="B1248" s="310" t="s">
        <v>1361</v>
      </c>
      <c r="C1248" s="309">
        <v>42036</v>
      </c>
      <c r="D1248" s="308" t="s">
        <v>1911</v>
      </c>
      <c r="E1248" s="307">
        <v>1</v>
      </c>
      <c r="F1248" s="311">
        <v>500</v>
      </c>
      <c r="G1248" s="303">
        <f>84-(5)</f>
        <v>79</v>
      </c>
    </row>
    <row r="1249" spans="1:8" x14ac:dyDescent="0.2">
      <c r="A1249" s="310" t="s">
        <v>1370</v>
      </c>
      <c r="B1249" s="310" t="s">
        <v>1361</v>
      </c>
      <c r="C1249" s="309">
        <v>42447</v>
      </c>
      <c r="D1249" s="308" t="s">
        <v>2371</v>
      </c>
      <c r="E1249" s="307">
        <v>1</v>
      </c>
      <c r="F1249" s="311">
        <v>500</v>
      </c>
      <c r="G1249" s="303">
        <f>84-(5)</f>
        <v>79</v>
      </c>
      <c r="H1249" s="305"/>
    </row>
    <row r="1250" spans="1:8" x14ac:dyDescent="0.2">
      <c r="A1250" s="310" t="s">
        <v>1370</v>
      </c>
      <c r="B1250" s="310" t="s">
        <v>1373</v>
      </c>
      <c r="C1250" s="309">
        <v>42658</v>
      </c>
      <c r="D1250" s="308" t="s">
        <v>2363</v>
      </c>
      <c r="E1250" s="307">
        <v>1</v>
      </c>
      <c r="F1250" s="311">
        <v>500</v>
      </c>
      <c r="G1250" s="306">
        <f>86-(7)</f>
        <v>79</v>
      </c>
    </row>
    <row r="1251" spans="1:8" x14ac:dyDescent="0.2">
      <c r="A1251" s="310" t="s">
        <v>1368</v>
      </c>
      <c r="B1251" s="310" t="s">
        <v>1367</v>
      </c>
      <c r="C1251" s="309">
        <v>42282</v>
      </c>
      <c r="D1251" s="308" t="s">
        <v>1763</v>
      </c>
      <c r="E1251" s="307">
        <v>1</v>
      </c>
      <c r="F1251" s="311">
        <v>200</v>
      </c>
      <c r="G1251" s="306">
        <v>79</v>
      </c>
    </row>
    <row r="1252" spans="1:8" x14ac:dyDescent="0.2">
      <c r="A1252" s="310" t="s">
        <v>1368</v>
      </c>
      <c r="B1252" s="310" t="s">
        <v>1371</v>
      </c>
      <c r="C1252" s="309">
        <v>42323</v>
      </c>
      <c r="D1252" s="308" t="s">
        <v>1610</v>
      </c>
      <c r="E1252" s="307">
        <v>1</v>
      </c>
      <c r="F1252" s="311">
        <v>200</v>
      </c>
      <c r="G1252" s="306">
        <f>75+(4)</f>
        <v>79</v>
      </c>
    </row>
    <row r="1253" spans="1:8" x14ac:dyDescent="0.2">
      <c r="A1253" s="310" t="s">
        <v>1368</v>
      </c>
      <c r="B1253" s="310" t="s">
        <v>1371</v>
      </c>
      <c r="C1253" s="309">
        <v>42323</v>
      </c>
      <c r="D1253" s="308" t="s">
        <v>1870</v>
      </c>
      <c r="E1253" s="307">
        <v>1</v>
      </c>
      <c r="F1253" s="311">
        <v>200</v>
      </c>
      <c r="G1253" s="306">
        <f>75+(4)</f>
        <v>79</v>
      </c>
    </row>
    <row r="1254" spans="1:8" x14ac:dyDescent="0.2">
      <c r="A1254" s="310" t="s">
        <v>1368</v>
      </c>
      <c r="B1254" s="310" t="s">
        <v>1371</v>
      </c>
      <c r="C1254" s="309">
        <v>42340</v>
      </c>
      <c r="D1254" s="308" t="s">
        <v>1443</v>
      </c>
      <c r="E1254" s="307">
        <v>1</v>
      </c>
      <c r="F1254" s="311">
        <v>200</v>
      </c>
      <c r="G1254" s="306">
        <f>75+(4)</f>
        <v>79</v>
      </c>
    </row>
    <row r="1255" spans="1:8" x14ac:dyDescent="0.2">
      <c r="A1255" s="310" t="s">
        <v>1368</v>
      </c>
      <c r="B1255" s="310" t="s">
        <v>1371</v>
      </c>
      <c r="C1255" s="309">
        <v>42340</v>
      </c>
      <c r="D1255" s="308" t="s">
        <v>1502</v>
      </c>
      <c r="E1255" s="307">
        <v>1</v>
      </c>
      <c r="F1255" s="311">
        <v>200</v>
      </c>
      <c r="G1255" s="306">
        <f>75+(4)</f>
        <v>79</v>
      </c>
    </row>
    <row r="1256" spans="1:8" x14ac:dyDescent="0.2">
      <c r="A1256" s="310" t="s">
        <v>1368</v>
      </c>
      <c r="B1256" s="310" t="s">
        <v>1371</v>
      </c>
      <c r="C1256" s="309">
        <v>42412</v>
      </c>
      <c r="D1256" s="308" t="s">
        <v>2431</v>
      </c>
      <c r="E1256" s="307">
        <v>1</v>
      </c>
      <c r="F1256" s="311">
        <v>200</v>
      </c>
      <c r="G1256" s="306">
        <f>75+(4)</f>
        <v>79</v>
      </c>
    </row>
    <row r="1257" spans="1:8" x14ac:dyDescent="0.2">
      <c r="A1257" s="310" t="s">
        <v>1368</v>
      </c>
      <c r="B1257" s="310" t="s">
        <v>1367</v>
      </c>
      <c r="C1257" s="309">
        <v>42453</v>
      </c>
      <c r="D1257" s="308" t="s">
        <v>2486</v>
      </c>
      <c r="E1257" s="307">
        <v>1</v>
      </c>
      <c r="F1257" s="311">
        <v>200</v>
      </c>
      <c r="G1257" s="306">
        <v>79</v>
      </c>
    </row>
    <row r="1258" spans="1:8" x14ac:dyDescent="0.2">
      <c r="A1258" s="310" t="s">
        <v>1368</v>
      </c>
      <c r="B1258" s="310" t="s">
        <v>1367</v>
      </c>
      <c r="C1258" s="309">
        <v>42485</v>
      </c>
      <c r="D1258" s="308" t="s">
        <v>2508</v>
      </c>
      <c r="E1258" s="307">
        <v>1</v>
      </c>
      <c r="F1258" s="311">
        <v>200</v>
      </c>
      <c r="G1258" s="306">
        <v>79</v>
      </c>
    </row>
    <row r="1259" spans="1:8" x14ac:dyDescent="0.2">
      <c r="A1259" s="310" t="s">
        <v>1368</v>
      </c>
      <c r="B1259" s="310" t="s">
        <v>1367</v>
      </c>
      <c r="C1259" s="309">
        <v>42505</v>
      </c>
      <c r="D1259" s="308" t="s">
        <v>2568</v>
      </c>
      <c r="E1259" s="307">
        <v>1</v>
      </c>
      <c r="F1259" s="311">
        <v>200</v>
      </c>
      <c r="G1259" s="306">
        <v>79</v>
      </c>
    </row>
    <row r="1260" spans="1:8" x14ac:dyDescent="0.2">
      <c r="A1260" s="310" t="s">
        <v>1368</v>
      </c>
      <c r="B1260" s="310" t="s">
        <v>1367</v>
      </c>
      <c r="C1260" s="309">
        <v>42505</v>
      </c>
      <c r="D1260" s="308" t="s">
        <v>2561</v>
      </c>
      <c r="E1260" s="307">
        <v>1</v>
      </c>
      <c r="F1260" s="311">
        <v>200</v>
      </c>
      <c r="G1260" s="306">
        <v>79</v>
      </c>
    </row>
    <row r="1261" spans="1:8" x14ac:dyDescent="0.2">
      <c r="A1261" s="310" t="s">
        <v>1368</v>
      </c>
      <c r="B1261" s="310" t="s">
        <v>1367</v>
      </c>
      <c r="C1261" s="309">
        <v>42545</v>
      </c>
      <c r="D1261" s="308" t="s">
        <v>2574</v>
      </c>
      <c r="E1261" s="307">
        <v>1</v>
      </c>
      <c r="F1261" s="311">
        <v>200</v>
      </c>
      <c r="G1261" s="306">
        <v>79</v>
      </c>
    </row>
    <row r="1262" spans="1:8" x14ac:dyDescent="0.2">
      <c r="A1262" s="310" t="s">
        <v>1368</v>
      </c>
      <c r="B1262" s="310" t="s">
        <v>1367</v>
      </c>
      <c r="C1262" s="309">
        <v>42563</v>
      </c>
      <c r="D1262" s="308" t="s">
        <v>2588</v>
      </c>
      <c r="E1262" s="307">
        <v>1</v>
      </c>
      <c r="F1262" s="311">
        <v>200</v>
      </c>
      <c r="G1262" s="306">
        <v>79</v>
      </c>
    </row>
    <row r="1263" spans="1:8" x14ac:dyDescent="0.2">
      <c r="A1263" s="310" t="s">
        <v>1368</v>
      </c>
      <c r="B1263" s="310" t="s">
        <v>1367</v>
      </c>
      <c r="C1263" s="309">
        <v>42593</v>
      </c>
      <c r="D1263" s="308" t="s">
        <v>2619</v>
      </c>
      <c r="E1263" s="307">
        <v>1</v>
      </c>
      <c r="F1263" s="311">
        <v>200</v>
      </c>
      <c r="G1263" s="306">
        <v>79</v>
      </c>
      <c r="H1263" s="305"/>
    </row>
    <row r="1264" spans="1:8" x14ac:dyDescent="0.2">
      <c r="A1264" s="310" t="s">
        <v>1366</v>
      </c>
      <c r="B1264" s="310" t="s">
        <v>1376</v>
      </c>
      <c r="C1264" s="309">
        <v>42259</v>
      </c>
      <c r="D1264" s="308" t="s">
        <v>1510</v>
      </c>
      <c r="E1264" s="307">
        <v>1</v>
      </c>
      <c r="F1264" s="311">
        <v>350</v>
      </c>
      <c r="G1264" s="306">
        <v>79</v>
      </c>
    </row>
    <row r="1265" spans="1:8" x14ac:dyDescent="0.2">
      <c r="A1265" s="310" t="s">
        <v>1366</v>
      </c>
      <c r="B1265" s="310" t="s">
        <v>1376</v>
      </c>
      <c r="C1265" s="309">
        <v>42562</v>
      </c>
      <c r="D1265" s="308" t="s">
        <v>2689</v>
      </c>
      <c r="E1265" s="307">
        <v>1</v>
      </c>
      <c r="F1265" s="311">
        <v>380</v>
      </c>
      <c r="G1265" s="306">
        <v>79</v>
      </c>
      <c r="H1265" s="305"/>
    </row>
    <row r="1266" spans="1:8" x14ac:dyDescent="0.2">
      <c r="A1266" s="310" t="s">
        <v>1364</v>
      </c>
      <c r="B1266" s="310" t="s">
        <v>1367</v>
      </c>
      <c r="C1266" s="309">
        <v>42091</v>
      </c>
      <c r="D1266" s="308" t="s">
        <v>1682</v>
      </c>
      <c r="E1266" s="307">
        <v>1</v>
      </c>
      <c r="F1266" s="311">
        <v>600</v>
      </c>
      <c r="G1266" s="306">
        <v>79</v>
      </c>
      <c r="H1266" s="305"/>
    </row>
    <row r="1267" spans="1:8" x14ac:dyDescent="0.2">
      <c r="A1267" s="310" t="s">
        <v>1364</v>
      </c>
      <c r="B1267" s="310" t="s">
        <v>1367</v>
      </c>
      <c r="C1267" s="309">
        <v>42638</v>
      </c>
      <c r="D1267" s="308" t="s">
        <v>2758</v>
      </c>
      <c r="E1267" s="307">
        <v>1</v>
      </c>
      <c r="F1267" s="311">
        <v>650</v>
      </c>
      <c r="G1267" s="306">
        <v>79</v>
      </c>
    </row>
    <row r="1268" spans="1:8" x14ac:dyDescent="0.2">
      <c r="A1268" s="310" t="s">
        <v>1362</v>
      </c>
      <c r="B1268" s="310" t="s">
        <v>1365</v>
      </c>
      <c r="C1268" s="309">
        <v>42058</v>
      </c>
      <c r="D1268" s="308" t="s">
        <v>1630</v>
      </c>
      <c r="E1268" s="307">
        <v>1</v>
      </c>
      <c r="F1268" s="311">
        <v>400</v>
      </c>
      <c r="G1268" s="303">
        <f t="shared" ref="G1268:G1275" si="11">91-(12)</f>
        <v>79</v>
      </c>
    </row>
    <row r="1269" spans="1:8" x14ac:dyDescent="0.2">
      <c r="A1269" s="310" t="s">
        <v>1362</v>
      </c>
      <c r="B1269" s="310" t="s">
        <v>1365</v>
      </c>
      <c r="C1269" s="309">
        <v>42127</v>
      </c>
      <c r="D1269" s="308" t="s">
        <v>1610</v>
      </c>
      <c r="E1269" s="307">
        <v>1</v>
      </c>
      <c r="F1269" s="311">
        <v>400</v>
      </c>
      <c r="G1269" s="303">
        <f t="shared" si="11"/>
        <v>79</v>
      </c>
      <c r="H1269" s="305"/>
    </row>
    <row r="1270" spans="1:8" x14ac:dyDescent="0.2">
      <c r="A1270" s="310" t="s">
        <v>1362</v>
      </c>
      <c r="B1270" s="310" t="s">
        <v>1365</v>
      </c>
      <c r="C1270" s="309">
        <v>42127</v>
      </c>
      <c r="D1270" s="308" t="s">
        <v>1595</v>
      </c>
      <c r="E1270" s="307">
        <v>1</v>
      </c>
      <c r="F1270" s="311">
        <v>400</v>
      </c>
      <c r="G1270" s="303">
        <f t="shared" si="11"/>
        <v>79</v>
      </c>
    </row>
    <row r="1271" spans="1:8" x14ac:dyDescent="0.2">
      <c r="A1271" s="310" t="s">
        <v>1362</v>
      </c>
      <c r="B1271" s="310" t="s">
        <v>1365</v>
      </c>
      <c r="C1271" s="309">
        <v>42127</v>
      </c>
      <c r="D1271" s="308" t="s">
        <v>1591</v>
      </c>
      <c r="E1271" s="307">
        <v>1</v>
      </c>
      <c r="F1271" s="311">
        <v>400</v>
      </c>
      <c r="G1271" s="303">
        <f t="shared" si="11"/>
        <v>79</v>
      </c>
    </row>
    <row r="1272" spans="1:8" x14ac:dyDescent="0.2">
      <c r="A1272" s="310" t="s">
        <v>1362</v>
      </c>
      <c r="B1272" s="310" t="s">
        <v>1365</v>
      </c>
      <c r="C1272" s="309">
        <v>42592</v>
      </c>
      <c r="D1272" s="308" t="s">
        <v>2814</v>
      </c>
      <c r="E1272" s="307">
        <v>1</v>
      </c>
      <c r="F1272" s="311">
        <v>400</v>
      </c>
      <c r="G1272" s="303">
        <f t="shared" si="11"/>
        <v>79</v>
      </c>
      <c r="H1272" s="305"/>
    </row>
    <row r="1273" spans="1:8" x14ac:dyDescent="0.2">
      <c r="A1273" s="310" t="s">
        <v>1362</v>
      </c>
      <c r="B1273" s="310" t="s">
        <v>1365</v>
      </c>
      <c r="C1273" s="309">
        <v>42654</v>
      </c>
      <c r="D1273" s="308" t="s">
        <v>2872</v>
      </c>
      <c r="E1273" s="307">
        <v>1</v>
      </c>
      <c r="F1273" s="311">
        <v>400</v>
      </c>
      <c r="G1273" s="303">
        <f t="shared" si="11"/>
        <v>79</v>
      </c>
      <c r="H1273" s="305"/>
    </row>
    <row r="1274" spans="1:8" x14ac:dyDescent="0.2">
      <c r="A1274" s="310" t="s">
        <v>1362</v>
      </c>
      <c r="B1274" s="310" t="s">
        <v>1365</v>
      </c>
      <c r="C1274" s="309">
        <v>42654</v>
      </c>
      <c r="D1274" s="308" t="s">
        <v>2861</v>
      </c>
      <c r="E1274" s="307">
        <v>1</v>
      </c>
      <c r="F1274" s="311">
        <v>400</v>
      </c>
      <c r="G1274" s="303">
        <f t="shared" si="11"/>
        <v>79</v>
      </c>
      <c r="H1274" s="305"/>
    </row>
    <row r="1275" spans="1:8" x14ac:dyDescent="0.2">
      <c r="A1275" s="310" t="s">
        <v>1362</v>
      </c>
      <c r="B1275" s="310" t="s">
        <v>1365</v>
      </c>
      <c r="C1275" s="309">
        <v>42654</v>
      </c>
      <c r="D1275" s="308" t="s">
        <v>2887</v>
      </c>
      <c r="E1275" s="307">
        <v>1</v>
      </c>
      <c r="F1275" s="311">
        <v>400</v>
      </c>
      <c r="G1275" s="303">
        <f t="shared" si="11"/>
        <v>79</v>
      </c>
      <c r="H1275" s="305"/>
    </row>
    <row r="1276" spans="1:8" x14ac:dyDescent="0.2">
      <c r="A1276" s="310" t="s">
        <v>1359</v>
      </c>
      <c r="B1276" s="310" t="s">
        <v>1363</v>
      </c>
      <c r="C1276" s="309">
        <v>42125</v>
      </c>
      <c r="D1276" s="308" t="s">
        <v>1477</v>
      </c>
      <c r="E1276" s="307">
        <v>1</v>
      </c>
      <c r="F1276" s="311">
        <v>400</v>
      </c>
      <c r="G1276" s="307">
        <v>79</v>
      </c>
    </row>
    <row r="1277" spans="1:8" x14ac:dyDescent="0.2">
      <c r="A1277" s="310" t="s">
        <v>1359</v>
      </c>
      <c r="B1277" s="310" t="s">
        <v>1363</v>
      </c>
      <c r="C1277" s="309">
        <v>42424</v>
      </c>
      <c r="D1277" s="308" t="s">
        <v>2635</v>
      </c>
      <c r="E1277" s="307">
        <v>1</v>
      </c>
      <c r="F1277" s="311">
        <v>400</v>
      </c>
      <c r="G1277" s="307">
        <v>79</v>
      </c>
      <c r="H1277" s="305"/>
    </row>
    <row r="1278" spans="1:8" x14ac:dyDescent="0.2">
      <c r="A1278" s="310" t="s">
        <v>1358</v>
      </c>
      <c r="B1278" s="310" t="s">
        <v>1375</v>
      </c>
      <c r="C1278" s="309">
        <v>42460</v>
      </c>
      <c r="D1278" s="308" t="s">
        <v>3030</v>
      </c>
      <c r="E1278" s="307">
        <v>1</v>
      </c>
      <c r="F1278" s="311">
        <v>320</v>
      </c>
      <c r="G1278" s="307">
        <v>79</v>
      </c>
      <c r="H1278" s="305"/>
    </row>
    <row r="1279" spans="1:8" x14ac:dyDescent="0.2">
      <c r="A1279" s="310" t="s">
        <v>1358</v>
      </c>
      <c r="B1279" s="310" t="s">
        <v>1375</v>
      </c>
      <c r="C1279" s="309">
        <v>42460</v>
      </c>
      <c r="D1279" s="308" t="s">
        <v>3007</v>
      </c>
      <c r="E1279" s="307">
        <v>1</v>
      </c>
      <c r="F1279" s="311">
        <v>320</v>
      </c>
      <c r="G1279" s="307">
        <v>79</v>
      </c>
      <c r="H1279" s="305"/>
    </row>
    <row r="1280" spans="1:8" x14ac:dyDescent="0.2">
      <c r="A1280" s="310" t="s">
        <v>1319</v>
      </c>
      <c r="B1280" s="310" t="s">
        <v>1373</v>
      </c>
      <c r="C1280" s="309">
        <v>42084</v>
      </c>
      <c r="D1280" s="308" t="s">
        <v>1822</v>
      </c>
      <c r="E1280" s="307">
        <v>1</v>
      </c>
      <c r="F1280" s="311">
        <v>100</v>
      </c>
      <c r="G1280" s="306">
        <f>87-(7)</f>
        <v>80</v>
      </c>
    </row>
    <row r="1281" spans="1:8" x14ac:dyDescent="0.2">
      <c r="A1281" s="310" t="s">
        <v>1319</v>
      </c>
      <c r="B1281" s="310" t="s">
        <v>1371</v>
      </c>
      <c r="C1281" s="309">
        <v>42476</v>
      </c>
      <c r="D1281" s="308" t="s">
        <v>2119</v>
      </c>
      <c r="E1281" s="307">
        <v>1</v>
      </c>
      <c r="F1281" s="311">
        <v>120</v>
      </c>
      <c r="G1281" s="306">
        <f>76+(4)</f>
        <v>80</v>
      </c>
    </row>
    <row r="1282" spans="1:8" x14ac:dyDescent="0.2">
      <c r="A1282" s="310" t="s">
        <v>1319</v>
      </c>
      <c r="B1282" s="310" t="s">
        <v>1371</v>
      </c>
      <c r="C1282" s="309">
        <v>42476</v>
      </c>
      <c r="D1282" s="308" t="s">
        <v>2094</v>
      </c>
      <c r="E1282" s="307">
        <v>1</v>
      </c>
      <c r="F1282" s="311">
        <v>120</v>
      </c>
      <c r="G1282" s="306">
        <f>76+(4)</f>
        <v>80</v>
      </c>
    </row>
    <row r="1283" spans="1:8" x14ac:dyDescent="0.2">
      <c r="A1283" s="310" t="s">
        <v>1313</v>
      </c>
      <c r="B1283" s="310" t="s">
        <v>1361</v>
      </c>
      <c r="C1283" s="309">
        <v>42177</v>
      </c>
      <c r="D1283" s="308" t="s">
        <v>1973</v>
      </c>
      <c r="E1283" s="307">
        <v>1</v>
      </c>
      <c r="F1283" s="311">
        <v>200</v>
      </c>
      <c r="G1283" s="303">
        <f>85-(5)</f>
        <v>80</v>
      </c>
    </row>
    <row r="1284" spans="1:8" x14ac:dyDescent="0.2">
      <c r="A1284" s="310" t="s">
        <v>1313</v>
      </c>
      <c r="B1284" s="310" t="s">
        <v>1361</v>
      </c>
      <c r="C1284" s="309">
        <v>42636</v>
      </c>
      <c r="D1284" s="308" t="s">
        <v>2196</v>
      </c>
      <c r="E1284" s="307">
        <v>1</v>
      </c>
      <c r="F1284" s="311">
        <v>210</v>
      </c>
      <c r="G1284" s="303">
        <f>85-(5)</f>
        <v>80</v>
      </c>
    </row>
    <row r="1285" spans="1:8" x14ac:dyDescent="0.2">
      <c r="A1285" s="310" t="s">
        <v>1374</v>
      </c>
      <c r="B1285" s="310" t="s">
        <v>1369</v>
      </c>
      <c r="C1285" s="309">
        <v>42227</v>
      </c>
      <c r="D1285" s="308" t="s">
        <v>1764</v>
      </c>
      <c r="E1285" s="307">
        <v>1</v>
      </c>
      <c r="F1285" s="311">
        <v>300</v>
      </c>
      <c r="G1285" s="307">
        <v>80</v>
      </c>
    </row>
    <row r="1286" spans="1:8" x14ac:dyDescent="0.2">
      <c r="A1286" s="310" t="s">
        <v>1374</v>
      </c>
      <c r="B1286" s="310" t="s">
        <v>1369</v>
      </c>
      <c r="C1286" s="309">
        <v>42531</v>
      </c>
      <c r="D1286" s="308" t="s">
        <v>2246</v>
      </c>
      <c r="E1286" s="307">
        <v>1</v>
      </c>
      <c r="F1286" s="311">
        <v>320</v>
      </c>
      <c r="G1286" s="307">
        <v>80</v>
      </c>
    </row>
    <row r="1287" spans="1:8" x14ac:dyDescent="0.2">
      <c r="A1287" s="310" t="s">
        <v>1372</v>
      </c>
      <c r="B1287" s="310" t="s">
        <v>1363</v>
      </c>
      <c r="C1287" s="309">
        <v>42271</v>
      </c>
      <c r="D1287" s="308" t="s">
        <v>1719</v>
      </c>
      <c r="E1287" s="307">
        <v>1</v>
      </c>
      <c r="F1287" s="311">
        <v>300</v>
      </c>
      <c r="G1287" s="307">
        <v>80</v>
      </c>
    </row>
    <row r="1288" spans="1:8" x14ac:dyDescent="0.2">
      <c r="A1288" s="310" t="s">
        <v>1372</v>
      </c>
      <c r="B1288" s="310" t="s">
        <v>1363</v>
      </c>
      <c r="C1288" s="309">
        <v>42271</v>
      </c>
      <c r="D1288" s="308" t="s">
        <v>1936</v>
      </c>
      <c r="E1288" s="307">
        <v>1</v>
      </c>
      <c r="F1288" s="311">
        <v>300</v>
      </c>
      <c r="G1288" s="307">
        <v>80</v>
      </c>
    </row>
    <row r="1289" spans="1:8" x14ac:dyDescent="0.2">
      <c r="A1289" s="310" t="s">
        <v>1372</v>
      </c>
      <c r="B1289" s="310" t="s">
        <v>1365</v>
      </c>
      <c r="C1289" s="309">
        <v>42488</v>
      </c>
      <c r="D1289" s="308" t="s">
        <v>2272</v>
      </c>
      <c r="E1289" s="307">
        <v>1</v>
      </c>
      <c r="F1289" s="311">
        <v>310</v>
      </c>
      <c r="G1289" s="303">
        <f>92-(12)</f>
        <v>80</v>
      </c>
    </row>
    <row r="1290" spans="1:8" x14ac:dyDescent="0.2">
      <c r="A1290" s="310" t="s">
        <v>1372</v>
      </c>
      <c r="B1290" s="310" t="s">
        <v>1365</v>
      </c>
      <c r="C1290" s="309">
        <v>42488</v>
      </c>
      <c r="D1290" s="308" t="s">
        <v>2267</v>
      </c>
      <c r="E1290" s="307">
        <v>1</v>
      </c>
      <c r="F1290" s="311">
        <v>310</v>
      </c>
      <c r="G1290" s="303">
        <f>92-(12)</f>
        <v>80</v>
      </c>
    </row>
    <row r="1291" spans="1:8" x14ac:dyDescent="0.2">
      <c r="A1291" s="310" t="s">
        <v>1372</v>
      </c>
      <c r="B1291" s="310" t="s">
        <v>1363</v>
      </c>
      <c r="C1291" s="309">
        <v>42685</v>
      </c>
      <c r="D1291" s="308" t="s">
        <v>2314</v>
      </c>
      <c r="E1291" s="307">
        <v>1</v>
      </c>
      <c r="F1291" s="311">
        <v>310</v>
      </c>
      <c r="G1291" s="307">
        <v>80</v>
      </c>
      <c r="H1291" s="305"/>
    </row>
    <row r="1292" spans="1:8" x14ac:dyDescent="0.2">
      <c r="A1292" s="310" t="s">
        <v>1370</v>
      </c>
      <c r="B1292" s="310" t="s">
        <v>1373</v>
      </c>
      <c r="C1292" s="309">
        <v>42288</v>
      </c>
      <c r="D1292" s="308" t="s">
        <v>1933</v>
      </c>
      <c r="E1292" s="307">
        <v>1</v>
      </c>
      <c r="F1292" s="311">
        <v>500</v>
      </c>
      <c r="G1292" s="306">
        <f>87-(7)</f>
        <v>80</v>
      </c>
    </row>
    <row r="1293" spans="1:8" x14ac:dyDescent="0.2">
      <c r="A1293" s="310" t="s">
        <v>1370</v>
      </c>
      <c r="B1293" s="310" t="s">
        <v>1361</v>
      </c>
      <c r="C1293" s="309">
        <v>42447</v>
      </c>
      <c r="D1293" s="308" t="s">
        <v>2406</v>
      </c>
      <c r="E1293" s="307">
        <v>1</v>
      </c>
      <c r="F1293" s="311">
        <v>500</v>
      </c>
      <c r="G1293" s="303">
        <f>85-(5)</f>
        <v>80</v>
      </c>
      <c r="H1293" s="305"/>
    </row>
    <row r="1294" spans="1:8" x14ac:dyDescent="0.2">
      <c r="A1294" s="310" t="s">
        <v>1370</v>
      </c>
      <c r="B1294" s="310" t="s">
        <v>1361</v>
      </c>
      <c r="C1294" s="309">
        <v>42447</v>
      </c>
      <c r="D1294" s="308" t="s">
        <v>2377</v>
      </c>
      <c r="E1294" s="307">
        <v>1</v>
      </c>
      <c r="F1294" s="311">
        <v>500</v>
      </c>
      <c r="G1294" s="303">
        <f>85-(5)</f>
        <v>80</v>
      </c>
      <c r="H1294" s="305"/>
    </row>
    <row r="1295" spans="1:8" x14ac:dyDescent="0.2">
      <c r="A1295" s="310" t="s">
        <v>1370</v>
      </c>
      <c r="B1295" s="310" t="s">
        <v>1373</v>
      </c>
      <c r="C1295" s="309">
        <v>42658</v>
      </c>
      <c r="D1295" s="308" t="s">
        <v>2342</v>
      </c>
      <c r="E1295" s="307">
        <v>1</v>
      </c>
      <c r="F1295" s="311">
        <v>500</v>
      </c>
      <c r="G1295" s="306">
        <f>87-(7)</f>
        <v>80</v>
      </c>
      <c r="H1295" s="305"/>
    </row>
    <row r="1296" spans="1:8" x14ac:dyDescent="0.2">
      <c r="A1296" s="310" t="s">
        <v>1368</v>
      </c>
      <c r="B1296" s="310" t="s">
        <v>1367</v>
      </c>
      <c r="C1296" s="309">
        <v>42068</v>
      </c>
      <c r="D1296" s="308" t="s">
        <v>1819</v>
      </c>
      <c r="E1296" s="307">
        <v>1</v>
      </c>
      <c r="F1296" s="311">
        <v>200</v>
      </c>
      <c r="G1296" s="306">
        <v>80</v>
      </c>
      <c r="H1296" s="305"/>
    </row>
    <row r="1297" spans="1:8" x14ac:dyDescent="0.2">
      <c r="A1297" s="310" t="s">
        <v>1368</v>
      </c>
      <c r="B1297" s="310" t="s">
        <v>1371</v>
      </c>
      <c r="C1297" s="309">
        <v>42340</v>
      </c>
      <c r="D1297" s="308" t="s">
        <v>1843</v>
      </c>
      <c r="E1297" s="307">
        <v>1</v>
      </c>
      <c r="F1297" s="311">
        <v>200</v>
      </c>
      <c r="G1297" s="306">
        <f>76+(4)</f>
        <v>80</v>
      </c>
    </row>
    <row r="1298" spans="1:8" x14ac:dyDescent="0.2">
      <c r="A1298" s="310" t="s">
        <v>1368</v>
      </c>
      <c r="B1298" s="310" t="s">
        <v>1371</v>
      </c>
      <c r="C1298" s="309">
        <v>42412</v>
      </c>
      <c r="D1298" s="308" t="s">
        <v>2148</v>
      </c>
      <c r="E1298" s="307">
        <v>1</v>
      </c>
      <c r="F1298" s="311">
        <v>200</v>
      </c>
      <c r="G1298" s="306">
        <f>76+(4)</f>
        <v>80</v>
      </c>
    </row>
    <row r="1299" spans="1:8" x14ac:dyDescent="0.2">
      <c r="A1299" s="310" t="s">
        <v>1368</v>
      </c>
      <c r="B1299" s="310" t="s">
        <v>1367</v>
      </c>
      <c r="C1299" s="309">
        <v>42439</v>
      </c>
      <c r="D1299" s="308" t="s">
        <v>2467</v>
      </c>
      <c r="E1299" s="307">
        <v>1</v>
      </c>
      <c r="F1299" s="311">
        <v>200</v>
      </c>
      <c r="G1299" s="306">
        <v>80</v>
      </c>
    </row>
    <row r="1300" spans="1:8" x14ac:dyDescent="0.2">
      <c r="A1300" s="310" t="s">
        <v>1368</v>
      </c>
      <c r="B1300" s="310" t="s">
        <v>1367</v>
      </c>
      <c r="C1300" s="309">
        <v>42505</v>
      </c>
      <c r="D1300" s="308" t="s">
        <v>2534</v>
      </c>
      <c r="E1300" s="307">
        <v>1</v>
      </c>
      <c r="F1300" s="311">
        <v>200</v>
      </c>
      <c r="G1300" s="306">
        <v>80</v>
      </c>
    </row>
    <row r="1301" spans="1:8" x14ac:dyDescent="0.2">
      <c r="A1301" s="310" t="s">
        <v>1366</v>
      </c>
      <c r="B1301" s="310" t="s">
        <v>1376</v>
      </c>
      <c r="C1301" s="309">
        <v>42259</v>
      </c>
      <c r="D1301" s="308" t="s">
        <v>1633</v>
      </c>
      <c r="E1301" s="307">
        <v>1</v>
      </c>
      <c r="F1301" s="311">
        <v>350</v>
      </c>
      <c r="G1301" s="306">
        <v>80</v>
      </c>
    </row>
    <row r="1302" spans="1:8" x14ac:dyDescent="0.2">
      <c r="A1302" s="310" t="s">
        <v>1366</v>
      </c>
      <c r="B1302" s="310" t="s">
        <v>1376</v>
      </c>
      <c r="C1302" s="309">
        <v>42562</v>
      </c>
      <c r="D1302" s="308" t="s">
        <v>2662</v>
      </c>
      <c r="E1302" s="307">
        <v>1</v>
      </c>
      <c r="F1302" s="311">
        <v>380</v>
      </c>
      <c r="G1302" s="306">
        <v>80</v>
      </c>
      <c r="H1302" s="305"/>
    </row>
    <row r="1303" spans="1:8" x14ac:dyDescent="0.2">
      <c r="A1303" s="310" t="s">
        <v>1366</v>
      </c>
      <c r="B1303" s="310" t="s">
        <v>1376</v>
      </c>
      <c r="C1303" s="309">
        <v>42562</v>
      </c>
      <c r="D1303" s="308" t="s">
        <v>2688</v>
      </c>
      <c r="E1303" s="307">
        <v>1</v>
      </c>
      <c r="F1303" s="311">
        <v>380</v>
      </c>
      <c r="G1303" s="306">
        <v>80</v>
      </c>
      <c r="H1303" s="305"/>
    </row>
    <row r="1304" spans="1:8" x14ac:dyDescent="0.2">
      <c r="A1304" s="310" t="s">
        <v>1364</v>
      </c>
      <c r="B1304" s="310" t="s">
        <v>1367</v>
      </c>
      <c r="C1304" s="309">
        <v>42091</v>
      </c>
      <c r="D1304" s="308" t="s">
        <v>1667</v>
      </c>
      <c r="E1304" s="307">
        <v>1</v>
      </c>
      <c r="F1304" s="311">
        <v>600</v>
      </c>
      <c r="G1304" s="306">
        <v>80</v>
      </c>
      <c r="H1304" s="305"/>
    </row>
    <row r="1305" spans="1:8" x14ac:dyDescent="0.2">
      <c r="A1305" s="310" t="s">
        <v>1364</v>
      </c>
      <c r="B1305" s="310" t="s">
        <v>1371</v>
      </c>
      <c r="C1305" s="309">
        <v>42157</v>
      </c>
      <c r="D1305" s="308" t="s">
        <v>1479</v>
      </c>
      <c r="E1305" s="307">
        <v>1</v>
      </c>
      <c r="F1305" s="311">
        <v>600</v>
      </c>
      <c r="G1305" s="306">
        <f>76+(4)</f>
        <v>80</v>
      </c>
    </row>
    <row r="1306" spans="1:8" x14ac:dyDescent="0.2">
      <c r="A1306" s="310" t="s">
        <v>1364</v>
      </c>
      <c r="B1306" s="310" t="s">
        <v>1371</v>
      </c>
      <c r="C1306" s="309">
        <v>42265</v>
      </c>
      <c r="D1306" s="308" t="s">
        <v>1702</v>
      </c>
      <c r="E1306" s="307">
        <v>1</v>
      </c>
      <c r="F1306" s="311">
        <v>600</v>
      </c>
      <c r="G1306" s="306">
        <f>76+(4)</f>
        <v>80</v>
      </c>
    </row>
    <row r="1307" spans="1:8" x14ac:dyDescent="0.2">
      <c r="A1307" s="310" t="s">
        <v>1364</v>
      </c>
      <c r="B1307" s="310" t="s">
        <v>1371</v>
      </c>
      <c r="C1307" s="309">
        <v>42430</v>
      </c>
      <c r="D1307" s="308" t="s">
        <v>2736</v>
      </c>
      <c r="E1307" s="307">
        <v>1</v>
      </c>
      <c r="F1307" s="311">
        <v>650</v>
      </c>
      <c r="G1307" s="306">
        <f>76+(4)</f>
        <v>80</v>
      </c>
    </row>
    <row r="1308" spans="1:8" x14ac:dyDescent="0.2">
      <c r="A1308" s="310" t="s">
        <v>1364</v>
      </c>
      <c r="B1308" s="310" t="s">
        <v>1371</v>
      </c>
      <c r="C1308" s="309">
        <v>42430</v>
      </c>
      <c r="D1308" s="308" t="s">
        <v>2705</v>
      </c>
      <c r="E1308" s="307">
        <v>1</v>
      </c>
      <c r="F1308" s="311">
        <v>650</v>
      </c>
      <c r="G1308" s="306">
        <f>76+(4)</f>
        <v>80</v>
      </c>
    </row>
    <row r="1309" spans="1:8" x14ac:dyDescent="0.2">
      <c r="A1309" s="310" t="s">
        <v>1362</v>
      </c>
      <c r="B1309" s="310" t="s">
        <v>1365</v>
      </c>
      <c r="C1309" s="309">
        <v>42127</v>
      </c>
      <c r="D1309" s="308" t="s">
        <v>1607</v>
      </c>
      <c r="E1309" s="307">
        <v>1</v>
      </c>
      <c r="F1309" s="311">
        <v>400</v>
      </c>
      <c r="G1309" s="303">
        <f t="shared" ref="G1309:G1314" si="12">92-(12)</f>
        <v>80</v>
      </c>
    </row>
    <row r="1310" spans="1:8" x14ac:dyDescent="0.2">
      <c r="A1310" s="310" t="s">
        <v>1362</v>
      </c>
      <c r="B1310" s="310" t="s">
        <v>1365</v>
      </c>
      <c r="C1310" s="309">
        <v>42268</v>
      </c>
      <c r="D1310" s="308" t="s">
        <v>1581</v>
      </c>
      <c r="E1310" s="307">
        <v>1</v>
      </c>
      <c r="F1310" s="311">
        <v>400</v>
      </c>
      <c r="G1310" s="303">
        <f t="shared" si="12"/>
        <v>80</v>
      </c>
    </row>
    <row r="1311" spans="1:8" x14ac:dyDescent="0.2">
      <c r="A1311" s="310" t="s">
        <v>1362</v>
      </c>
      <c r="B1311" s="310" t="s">
        <v>1365</v>
      </c>
      <c r="C1311" s="309">
        <v>42268</v>
      </c>
      <c r="D1311" s="308" t="s">
        <v>1569</v>
      </c>
      <c r="E1311" s="307">
        <v>1</v>
      </c>
      <c r="F1311" s="311">
        <v>400</v>
      </c>
      <c r="G1311" s="303">
        <f t="shared" si="12"/>
        <v>80</v>
      </c>
    </row>
    <row r="1312" spans="1:8" x14ac:dyDescent="0.2">
      <c r="A1312" s="310" t="s">
        <v>1362</v>
      </c>
      <c r="B1312" s="310" t="s">
        <v>1365</v>
      </c>
      <c r="C1312" s="309">
        <v>42592</v>
      </c>
      <c r="D1312" s="308" t="s">
        <v>2830</v>
      </c>
      <c r="E1312" s="307">
        <v>1</v>
      </c>
      <c r="F1312" s="311">
        <v>400</v>
      </c>
      <c r="G1312" s="303">
        <f t="shared" si="12"/>
        <v>80</v>
      </c>
    </row>
    <row r="1313" spans="1:8" x14ac:dyDescent="0.2">
      <c r="A1313" s="310" t="s">
        <v>1362</v>
      </c>
      <c r="B1313" s="310" t="s">
        <v>1365</v>
      </c>
      <c r="C1313" s="309">
        <v>42592</v>
      </c>
      <c r="D1313" s="308" t="s">
        <v>2829</v>
      </c>
      <c r="E1313" s="307">
        <v>1</v>
      </c>
      <c r="F1313" s="311">
        <v>400</v>
      </c>
      <c r="G1313" s="303">
        <f t="shared" si="12"/>
        <v>80</v>
      </c>
      <c r="H1313" s="305"/>
    </row>
    <row r="1314" spans="1:8" x14ac:dyDescent="0.2">
      <c r="A1314" s="310" t="s">
        <v>1362</v>
      </c>
      <c r="B1314" s="310" t="s">
        <v>1365</v>
      </c>
      <c r="C1314" s="309">
        <v>42654</v>
      </c>
      <c r="D1314" s="308" t="s">
        <v>2846</v>
      </c>
      <c r="E1314" s="307">
        <v>1</v>
      </c>
      <c r="F1314" s="311">
        <v>400</v>
      </c>
      <c r="G1314" s="303">
        <f t="shared" si="12"/>
        <v>80</v>
      </c>
    </row>
    <row r="1315" spans="1:8" x14ac:dyDescent="0.2">
      <c r="A1315" s="310" t="s">
        <v>1360</v>
      </c>
      <c r="B1315" s="310" t="s">
        <v>1371</v>
      </c>
      <c r="C1315" s="309">
        <v>42022</v>
      </c>
      <c r="D1315" s="308" t="s">
        <v>1562</v>
      </c>
      <c r="E1315" s="307">
        <v>1</v>
      </c>
      <c r="F1315" s="311">
        <v>250</v>
      </c>
      <c r="G1315" s="306">
        <f>76+(4)</f>
        <v>80</v>
      </c>
    </row>
    <row r="1316" spans="1:8" x14ac:dyDescent="0.2">
      <c r="A1316" s="310" t="s">
        <v>1360</v>
      </c>
      <c r="B1316" s="310" t="s">
        <v>1371</v>
      </c>
      <c r="C1316" s="309">
        <v>42022</v>
      </c>
      <c r="D1316" s="308" t="s">
        <v>1553</v>
      </c>
      <c r="E1316" s="307">
        <v>1</v>
      </c>
      <c r="F1316" s="311">
        <v>250</v>
      </c>
      <c r="G1316" s="306">
        <f>76+(4)</f>
        <v>80</v>
      </c>
    </row>
    <row r="1317" spans="1:8" x14ac:dyDescent="0.2">
      <c r="A1317" s="310" t="s">
        <v>1360</v>
      </c>
      <c r="B1317" s="310" t="s">
        <v>1371</v>
      </c>
      <c r="C1317" s="309">
        <v>42504</v>
      </c>
      <c r="D1317" s="308" t="s">
        <v>2925</v>
      </c>
      <c r="E1317" s="307">
        <v>1</v>
      </c>
      <c r="F1317" s="311">
        <v>275</v>
      </c>
      <c r="G1317" s="306">
        <f>76+(4)</f>
        <v>80</v>
      </c>
    </row>
    <row r="1318" spans="1:8" x14ac:dyDescent="0.2">
      <c r="A1318" s="310" t="s">
        <v>1360</v>
      </c>
      <c r="B1318" s="310" t="s">
        <v>1371</v>
      </c>
      <c r="C1318" s="309">
        <v>42504</v>
      </c>
      <c r="D1318" s="308" t="s">
        <v>2918</v>
      </c>
      <c r="E1318" s="307">
        <v>1</v>
      </c>
      <c r="F1318" s="311">
        <v>275</v>
      </c>
      <c r="G1318" s="306">
        <f>76+(4)</f>
        <v>80</v>
      </c>
      <c r="H1318" s="305"/>
    </row>
    <row r="1319" spans="1:8" x14ac:dyDescent="0.2">
      <c r="A1319" s="310" t="s">
        <v>1359</v>
      </c>
      <c r="B1319" s="310" t="s">
        <v>1363</v>
      </c>
      <c r="C1319" s="309">
        <v>42424</v>
      </c>
      <c r="D1319" s="308" t="s">
        <v>2139</v>
      </c>
      <c r="E1319" s="307">
        <v>1</v>
      </c>
      <c r="F1319" s="311">
        <v>400</v>
      </c>
      <c r="G1319" s="307">
        <v>80</v>
      </c>
      <c r="H1319" s="305"/>
    </row>
    <row r="1320" spans="1:8" x14ac:dyDescent="0.2">
      <c r="A1320" s="310" t="s">
        <v>1359</v>
      </c>
      <c r="B1320" s="310" t="s">
        <v>1363</v>
      </c>
      <c r="C1320" s="309">
        <v>42424</v>
      </c>
      <c r="D1320" s="308" t="s">
        <v>2955</v>
      </c>
      <c r="E1320" s="307">
        <v>1</v>
      </c>
      <c r="F1320" s="311">
        <v>400</v>
      </c>
      <c r="G1320" s="307">
        <v>80</v>
      </c>
      <c r="H1320" s="305"/>
    </row>
    <row r="1321" spans="1:8" x14ac:dyDescent="0.2">
      <c r="A1321" s="310" t="s">
        <v>1358</v>
      </c>
      <c r="B1321" s="310" t="s">
        <v>1375</v>
      </c>
      <c r="C1321" s="309">
        <v>42648</v>
      </c>
      <c r="D1321" s="308" t="s">
        <v>3065</v>
      </c>
      <c r="E1321" s="307">
        <v>1</v>
      </c>
      <c r="F1321" s="311">
        <v>320</v>
      </c>
      <c r="G1321" s="307">
        <v>80</v>
      </c>
    </row>
    <row r="1322" spans="1:8" x14ac:dyDescent="0.2">
      <c r="A1322" s="310" t="s">
        <v>1319</v>
      </c>
      <c r="B1322" s="310" t="s">
        <v>1361</v>
      </c>
      <c r="C1322" s="309">
        <v>42019</v>
      </c>
      <c r="D1322" s="308" t="s">
        <v>1939</v>
      </c>
      <c r="E1322" s="307">
        <v>1</v>
      </c>
      <c r="F1322" s="311">
        <v>100</v>
      </c>
      <c r="G1322" s="303">
        <f>86-(5)</f>
        <v>81</v>
      </c>
    </row>
    <row r="1323" spans="1:8" x14ac:dyDescent="0.2">
      <c r="A1323" s="310" t="s">
        <v>1319</v>
      </c>
      <c r="B1323" s="310" t="s">
        <v>1361</v>
      </c>
      <c r="C1323" s="309">
        <v>42019</v>
      </c>
      <c r="D1323" s="308" t="s">
        <v>1988</v>
      </c>
      <c r="E1323" s="307">
        <v>1</v>
      </c>
      <c r="F1323" s="311">
        <v>100</v>
      </c>
      <c r="G1323" s="303">
        <f>86-(5)</f>
        <v>81</v>
      </c>
      <c r="H1323" s="305"/>
    </row>
    <row r="1324" spans="1:8" x14ac:dyDescent="0.2">
      <c r="A1324" s="310" t="s">
        <v>1319</v>
      </c>
      <c r="B1324" s="310" t="s">
        <v>1367</v>
      </c>
      <c r="C1324" s="309">
        <v>42332</v>
      </c>
      <c r="D1324" s="308" t="s">
        <v>1454</v>
      </c>
      <c r="E1324" s="307">
        <v>1</v>
      </c>
      <c r="F1324" s="311">
        <v>100</v>
      </c>
      <c r="G1324" s="306">
        <v>81</v>
      </c>
    </row>
    <row r="1325" spans="1:8" x14ac:dyDescent="0.2">
      <c r="A1325" s="310" t="s">
        <v>1319</v>
      </c>
      <c r="B1325" s="310" t="s">
        <v>1367</v>
      </c>
      <c r="C1325" s="309">
        <v>42332</v>
      </c>
      <c r="D1325" s="308" t="s">
        <v>1994</v>
      </c>
      <c r="E1325" s="307">
        <v>1</v>
      </c>
      <c r="F1325" s="311">
        <v>100</v>
      </c>
      <c r="G1325" s="306">
        <v>81</v>
      </c>
      <c r="H1325" s="305"/>
    </row>
    <row r="1326" spans="1:8" x14ac:dyDescent="0.2">
      <c r="A1326" s="310" t="s">
        <v>1319</v>
      </c>
      <c r="B1326" s="310" t="s">
        <v>1367</v>
      </c>
      <c r="C1326" s="309">
        <v>42666</v>
      </c>
      <c r="D1326" s="308" t="s">
        <v>2163</v>
      </c>
      <c r="E1326" s="307">
        <v>1</v>
      </c>
      <c r="F1326" s="311">
        <v>120</v>
      </c>
      <c r="G1326" s="306">
        <v>81</v>
      </c>
      <c r="H1326" s="305"/>
    </row>
    <row r="1327" spans="1:8" x14ac:dyDescent="0.2">
      <c r="A1327" s="310" t="s">
        <v>1313</v>
      </c>
      <c r="B1327" s="310" t="s">
        <v>1373</v>
      </c>
      <c r="C1327" s="309">
        <v>42105</v>
      </c>
      <c r="D1327" s="308" t="s">
        <v>1982</v>
      </c>
      <c r="E1327" s="307">
        <v>1</v>
      </c>
      <c r="F1327" s="311">
        <v>200</v>
      </c>
      <c r="G1327" s="306">
        <f>88-(7)</f>
        <v>81</v>
      </c>
    </row>
    <row r="1328" spans="1:8" x14ac:dyDescent="0.2">
      <c r="A1328" s="310" t="s">
        <v>1313</v>
      </c>
      <c r="B1328" s="310" t="s">
        <v>1361</v>
      </c>
      <c r="C1328" s="309">
        <v>42177</v>
      </c>
      <c r="D1328" s="308" t="s">
        <v>1521</v>
      </c>
      <c r="E1328" s="307">
        <v>1</v>
      </c>
      <c r="F1328" s="311">
        <v>200</v>
      </c>
      <c r="G1328" s="303">
        <f>86-(5)</f>
        <v>81</v>
      </c>
    </row>
    <row r="1329" spans="1:8" x14ac:dyDescent="0.2">
      <c r="A1329" s="310" t="s">
        <v>1313</v>
      </c>
      <c r="B1329" s="310" t="s">
        <v>1373</v>
      </c>
      <c r="C1329" s="309">
        <v>42384</v>
      </c>
      <c r="D1329" s="308" t="s">
        <v>2185</v>
      </c>
      <c r="E1329" s="307">
        <v>1</v>
      </c>
      <c r="F1329" s="311">
        <v>210</v>
      </c>
      <c r="G1329" s="306">
        <f>88-(7)</f>
        <v>81</v>
      </c>
    </row>
    <row r="1330" spans="1:8" x14ac:dyDescent="0.2">
      <c r="A1330" s="310" t="s">
        <v>1313</v>
      </c>
      <c r="B1330" s="310" t="s">
        <v>1361</v>
      </c>
      <c r="C1330" s="309">
        <v>42636</v>
      </c>
      <c r="D1330" s="308" t="s">
        <v>2201</v>
      </c>
      <c r="E1330" s="307">
        <v>1</v>
      </c>
      <c r="F1330" s="311">
        <v>210</v>
      </c>
      <c r="G1330" s="303">
        <f>86-(5)</f>
        <v>81</v>
      </c>
    </row>
    <row r="1331" spans="1:8" x14ac:dyDescent="0.2">
      <c r="A1331" s="310" t="s">
        <v>1374</v>
      </c>
      <c r="B1331" s="310" t="s">
        <v>1369</v>
      </c>
      <c r="C1331" s="309">
        <v>42531</v>
      </c>
      <c r="D1331" s="308" t="s">
        <v>2238</v>
      </c>
      <c r="E1331" s="307">
        <v>1</v>
      </c>
      <c r="F1331" s="311">
        <v>320</v>
      </c>
      <c r="G1331" s="307">
        <v>81</v>
      </c>
    </row>
    <row r="1332" spans="1:8" x14ac:dyDescent="0.2">
      <c r="A1332" s="310" t="s">
        <v>1372</v>
      </c>
      <c r="B1332" s="310" t="s">
        <v>1363</v>
      </c>
      <c r="C1332" s="309">
        <v>42685</v>
      </c>
      <c r="D1332" s="308" t="s">
        <v>2294</v>
      </c>
      <c r="E1332" s="307">
        <v>1</v>
      </c>
      <c r="F1332" s="311">
        <v>310</v>
      </c>
      <c r="G1332" s="307">
        <v>81</v>
      </c>
    </row>
    <row r="1333" spans="1:8" x14ac:dyDescent="0.2">
      <c r="A1333" s="310" t="s">
        <v>1370</v>
      </c>
      <c r="B1333" s="310" t="s">
        <v>1361</v>
      </c>
      <c r="C1333" s="309">
        <v>42036</v>
      </c>
      <c r="D1333" s="308" t="s">
        <v>1428</v>
      </c>
      <c r="E1333" s="307">
        <v>1</v>
      </c>
      <c r="F1333" s="311">
        <v>500</v>
      </c>
      <c r="G1333" s="303">
        <f>86-(5)</f>
        <v>81</v>
      </c>
    </row>
    <row r="1334" spans="1:8" x14ac:dyDescent="0.2">
      <c r="A1334" s="310" t="s">
        <v>1370</v>
      </c>
      <c r="B1334" s="310" t="s">
        <v>1361</v>
      </c>
      <c r="C1334" s="309">
        <v>42036</v>
      </c>
      <c r="D1334" s="308" t="s">
        <v>1913</v>
      </c>
      <c r="E1334" s="307">
        <v>1</v>
      </c>
      <c r="F1334" s="311">
        <v>500</v>
      </c>
      <c r="G1334" s="303">
        <f>86-(5)</f>
        <v>81</v>
      </c>
    </row>
    <row r="1335" spans="1:8" x14ac:dyDescent="0.2">
      <c r="A1335" s="310" t="s">
        <v>1370</v>
      </c>
      <c r="B1335" s="310" t="s">
        <v>1361</v>
      </c>
      <c r="C1335" s="309">
        <v>42139</v>
      </c>
      <c r="D1335" s="308" t="s">
        <v>1446</v>
      </c>
      <c r="E1335" s="307">
        <v>1</v>
      </c>
      <c r="F1335" s="311">
        <v>500</v>
      </c>
      <c r="G1335" s="303">
        <f>86-(5)</f>
        <v>81</v>
      </c>
      <c r="H1335" s="305"/>
    </row>
    <row r="1336" spans="1:8" x14ac:dyDescent="0.2">
      <c r="A1336" s="310" t="s">
        <v>1368</v>
      </c>
      <c r="B1336" s="310" t="s">
        <v>1367</v>
      </c>
      <c r="C1336" s="309">
        <v>42170</v>
      </c>
      <c r="D1336" s="308" t="s">
        <v>1597</v>
      </c>
      <c r="E1336" s="307">
        <v>1</v>
      </c>
      <c r="F1336" s="311">
        <v>200</v>
      </c>
      <c r="G1336" s="306">
        <v>81</v>
      </c>
      <c r="H1336" s="305"/>
    </row>
    <row r="1337" spans="1:8" x14ac:dyDescent="0.2">
      <c r="A1337" s="310" t="s">
        <v>1368</v>
      </c>
      <c r="B1337" s="310" t="s">
        <v>1371</v>
      </c>
      <c r="C1337" s="309">
        <v>42323</v>
      </c>
      <c r="D1337" s="308" t="s">
        <v>1454</v>
      </c>
      <c r="E1337" s="307">
        <v>1</v>
      </c>
      <c r="F1337" s="311">
        <v>200</v>
      </c>
      <c r="G1337" s="306">
        <f>77+(4)</f>
        <v>81</v>
      </c>
    </row>
    <row r="1338" spans="1:8" x14ac:dyDescent="0.2">
      <c r="A1338" s="310" t="s">
        <v>1368</v>
      </c>
      <c r="B1338" s="310" t="s">
        <v>1371</v>
      </c>
      <c r="C1338" s="309">
        <v>42340</v>
      </c>
      <c r="D1338" s="308" t="s">
        <v>1674</v>
      </c>
      <c r="E1338" s="307">
        <v>1</v>
      </c>
      <c r="F1338" s="311">
        <v>200</v>
      </c>
      <c r="G1338" s="306">
        <f>77+(4)</f>
        <v>81</v>
      </c>
    </row>
    <row r="1339" spans="1:8" x14ac:dyDescent="0.2">
      <c r="A1339" s="310" t="s">
        <v>1368</v>
      </c>
      <c r="B1339" s="310" t="s">
        <v>1367</v>
      </c>
      <c r="C1339" s="309">
        <v>42563</v>
      </c>
      <c r="D1339" s="308" t="s">
        <v>2590</v>
      </c>
      <c r="E1339" s="307">
        <v>1</v>
      </c>
      <c r="F1339" s="311">
        <v>200</v>
      </c>
      <c r="G1339" s="306">
        <v>81</v>
      </c>
    </row>
    <row r="1340" spans="1:8" x14ac:dyDescent="0.2">
      <c r="A1340" s="310" t="s">
        <v>1368</v>
      </c>
      <c r="B1340" s="310" t="s">
        <v>1367</v>
      </c>
      <c r="C1340" s="309">
        <v>42627</v>
      </c>
      <c r="D1340" s="308" t="s">
        <v>2644</v>
      </c>
      <c r="E1340" s="307">
        <v>1</v>
      </c>
      <c r="F1340" s="311">
        <v>200</v>
      </c>
      <c r="G1340" s="306">
        <v>81</v>
      </c>
      <c r="H1340" s="305"/>
    </row>
    <row r="1341" spans="1:8" x14ac:dyDescent="0.2">
      <c r="A1341" s="310" t="s">
        <v>1364</v>
      </c>
      <c r="B1341" s="310" t="s">
        <v>1367</v>
      </c>
      <c r="C1341" s="309">
        <v>42091</v>
      </c>
      <c r="D1341" s="308" t="s">
        <v>1659</v>
      </c>
      <c r="E1341" s="307">
        <v>1</v>
      </c>
      <c r="F1341" s="311">
        <v>600</v>
      </c>
      <c r="G1341" s="306">
        <v>81</v>
      </c>
      <c r="H1341" s="305"/>
    </row>
    <row r="1342" spans="1:8" x14ac:dyDescent="0.2">
      <c r="A1342" s="310" t="s">
        <v>1364</v>
      </c>
      <c r="B1342" s="310" t="s">
        <v>1371</v>
      </c>
      <c r="C1342" s="309">
        <v>42157</v>
      </c>
      <c r="D1342" s="308" t="s">
        <v>1562</v>
      </c>
      <c r="E1342" s="307">
        <v>1</v>
      </c>
      <c r="F1342" s="311">
        <v>600</v>
      </c>
      <c r="G1342" s="306">
        <f>77+(4)</f>
        <v>81</v>
      </c>
    </row>
    <row r="1343" spans="1:8" x14ac:dyDescent="0.2">
      <c r="A1343" s="310" t="s">
        <v>1364</v>
      </c>
      <c r="B1343" s="310" t="s">
        <v>1371</v>
      </c>
      <c r="C1343" s="309">
        <v>42157</v>
      </c>
      <c r="D1343" s="308" t="s">
        <v>1712</v>
      </c>
      <c r="E1343" s="307">
        <v>1</v>
      </c>
      <c r="F1343" s="311">
        <v>600</v>
      </c>
      <c r="G1343" s="306">
        <f>77+(4)</f>
        <v>81</v>
      </c>
    </row>
    <row r="1344" spans="1:8" x14ac:dyDescent="0.2">
      <c r="A1344" s="310" t="s">
        <v>1364</v>
      </c>
      <c r="B1344" s="310" t="s">
        <v>1371</v>
      </c>
      <c r="C1344" s="309">
        <v>42265</v>
      </c>
      <c r="D1344" s="308" t="s">
        <v>1523</v>
      </c>
      <c r="E1344" s="307">
        <v>1</v>
      </c>
      <c r="F1344" s="311">
        <v>600</v>
      </c>
      <c r="G1344" s="306">
        <f>77+(4)</f>
        <v>81</v>
      </c>
    </row>
    <row r="1345" spans="1:8" x14ac:dyDescent="0.2">
      <c r="A1345" s="310" t="s">
        <v>1364</v>
      </c>
      <c r="B1345" s="310" t="s">
        <v>1371</v>
      </c>
      <c r="C1345" s="309">
        <v>42430</v>
      </c>
      <c r="D1345" s="308" t="s">
        <v>2708</v>
      </c>
      <c r="E1345" s="307">
        <v>1</v>
      </c>
      <c r="F1345" s="311">
        <v>650</v>
      </c>
      <c r="G1345" s="306">
        <f>77+(4)</f>
        <v>81</v>
      </c>
    </row>
    <row r="1346" spans="1:8" x14ac:dyDescent="0.2">
      <c r="A1346" s="310" t="s">
        <v>1364</v>
      </c>
      <c r="B1346" s="310" t="s">
        <v>1371</v>
      </c>
      <c r="C1346" s="309">
        <v>42430</v>
      </c>
      <c r="D1346" s="308" t="s">
        <v>2704</v>
      </c>
      <c r="E1346" s="307">
        <v>1</v>
      </c>
      <c r="F1346" s="311">
        <v>650</v>
      </c>
      <c r="G1346" s="306">
        <f>77+(4)</f>
        <v>81</v>
      </c>
    </row>
    <row r="1347" spans="1:8" x14ac:dyDescent="0.2">
      <c r="A1347" s="310" t="s">
        <v>1364</v>
      </c>
      <c r="B1347" s="310" t="s">
        <v>1367</v>
      </c>
      <c r="C1347" s="309">
        <v>42638</v>
      </c>
      <c r="D1347" s="308" t="s">
        <v>2769</v>
      </c>
      <c r="E1347" s="307">
        <v>1</v>
      </c>
      <c r="F1347" s="311">
        <v>650</v>
      </c>
      <c r="G1347" s="306">
        <v>81</v>
      </c>
      <c r="H1347" s="305"/>
    </row>
    <row r="1348" spans="1:8" x14ac:dyDescent="0.2">
      <c r="A1348" s="310" t="s">
        <v>1364</v>
      </c>
      <c r="B1348" s="310" t="s">
        <v>1367</v>
      </c>
      <c r="C1348" s="309">
        <v>42638</v>
      </c>
      <c r="D1348" s="308" t="s">
        <v>2768</v>
      </c>
      <c r="E1348" s="307">
        <v>1</v>
      </c>
      <c r="F1348" s="311">
        <v>650</v>
      </c>
      <c r="G1348" s="306">
        <v>81</v>
      </c>
    </row>
    <row r="1349" spans="1:8" x14ac:dyDescent="0.2">
      <c r="A1349" s="310" t="s">
        <v>1362</v>
      </c>
      <c r="B1349" s="310" t="s">
        <v>1365</v>
      </c>
      <c r="C1349" s="309">
        <v>42058</v>
      </c>
      <c r="D1349" s="308" t="s">
        <v>1469</v>
      </c>
      <c r="E1349" s="307">
        <v>1</v>
      </c>
      <c r="F1349" s="311">
        <v>400</v>
      </c>
      <c r="G1349" s="303">
        <f t="shared" ref="G1349:G1354" si="13">93-(12)</f>
        <v>81</v>
      </c>
      <c r="H1349" s="305"/>
    </row>
    <row r="1350" spans="1:8" x14ac:dyDescent="0.2">
      <c r="A1350" s="310" t="s">
        <v>1362</v>
      </c>
      <c r="B1350" s="310" t="s">
        <v>1365</v>
      </c>
      <c r="C1350" s="309">
        <v>42058</v>
      </c>
      <c r="D1350" s="308" t="s">
        <v>1414</v>
      </c>
      <c r="E1350" s="307">
        <v>1</v>
      </c>
      <c r="F1350" s="311">
        <v>400</v>
      </c>
      <c r="G1350" s="303">
        <f t="shared" si="13"/>
        <v>81</v>
      </c>
      <c r="H1350" s="305"/>
    </row>
    <row r="1351" spans="1:8" x14ac:dyDescent="0.2">
      <c r="A1351" s="310" t="s">
        <v>1362</v>
      </c>
      <c r="B1351" s="310" t="s">
        <v>1365</v>
      </c>
      <c r="C1351" s="309">
        <v>42127</v>
      </c>
      <c r="D1351" s="308" t="s">
        <v>1604</v>
      </c>
      <c r="E1351" s="307">
        <v>1</v>
      </c>
      <c r="F1351" s="311">
        <v>400</v>
      </c>
      <c r="G1351" s="303">
        <f t="shared" si="13"/>
        <v>81</v>
      </c>
      <c r="H1351" s="305"/>
    </row>
    <row r="1352" spans="1:8" x14ac:dyDescent="0.2">
      <c r="A1352" s="310" t="s">
        <v>1362</v>
      </c>
      <c r="B1352" s="310" t="s">
        <v>1365</v>
      </c>
      <c r="C1352" s="309">
        <v>42127</v>
      </c>
      <c r="D1352" s="308" t="s">
        <v>1597</v>
      </c>
      <c r="E1352" s="307">
        <v>1</v>
      </c>
      <c r="F1352" s="311">
        <v>400</v>
      </c>
      <c r="G1352" s="303">
        <f t="shared" si="13"/>
        <v>81</v>
      </c>
    </row>
    <row r="1353" spans="1:8" x14ac:dyDescent="0.2">
      <c r="A1353" s="310" t="s">
        <v>1362</v>
      </c>
      <c r="B1353" s="310" t="s">
        <v>1365</v>
      </c>
      <c r="C1353" s="309">
        <v>42592</v>
      </c>
      <c r="D1353" s="308" t="s">
        <v>2805</v>
      </c>
      <c r="E1353" s="307">
        <v>1</v>
      </c>
      <c r="F1353" s="311">
        <v>400</v>
      </c>
      <c r="G1353" s="303">
        <f t="shared" si="13"/>
        <v>81</v>
      </c>
    </row>
    <row r="1354" spans="1:8" x14ac:dyDescent="0.2">
      <c r="A1354" s="310" t="s">
        <v>1362</v>
      </c>
      <c r="B1354" s="310" t="s">
        <v>1365</v>
      </c>
      <c r="C1354" s="309">
        <v>42654</v>
      </c>
      <c r="D1354" s="308" t="s">
        <v>2901</v>
      </c>
      <c r="E1354" s="307">
        <v>1</v>
      </c>
      <c r="F1354" s="311">
        <v>400</v>
      </c>
      <c r="G1354" s="303">
        <f t="shared" si="13"/>
        <v>81</v>
      </c>
    </row>
    <row r="1355" spans="1:8" x14ac:dyDescent="0.2">
      <c r="A1355" s="310" t="s">
        <v>1359</v>
      </c>
      <c r="B1355" s="310" t="s">
        <v>1363</v>
      </c>
      <c r="C1355" s="309">
        <v>42064</v>
      </c>
      <c r="D1355" s="308" t="s">
        <v>1525</v>
      </c>
      <c r="E1355" s="307">
        <v>1</v>
      </c>
      <c r="F1355" s="311">
        <v>400</v>
      </c>
      <c r="G1355" s="307">
        <v>81</v>
      </c>
    </row>
    <row r="1356" spans="1:8" x14ac:dyDescent="0.2">
      <c r="A1356" s="310" t="s">
        <v>1359</v>
      </c>
      <c r="B1356" s="310" t="s">
        <v>1363</v>
      </c>
      <c r="C1356" s="309">
        <v>42424</v>
      </c>
      <c r="D1356" s="308" t="s">
        <v>2988</v>
      </c>
      <c r="E1356" s="307">
        <v>1</v>
      </c>
      <c r="F1356" s="311">
        <v>400</v>
      </c>
      <c r="G1356" s="307">
        <v>81</v>
      </c>
    </row>
    <row r="1357" spans="1:8" x14ac:dyDescent="0.2">
      <c r="A1357" s="310" t="s">
        <v>1358</v>
      </c>
      <c r="B1357" s="310" t="s">
        <v>1375</v>
      </c>
      <c r="C1357" s="309">
        <v>42037</v>
      </c>
      <c r="D1357" s="308" t="s">
        <v>1458</v>
      </c>
      <c r="E1357" s="307">
        <v>1</v>
      </c>
      <c r="F1357" s="311">
        <v>300</v>
      </c>
      <c r="G1357" s="307">
        <v>81</v>
      </c>
    </row>
    <row r="1358" spans="1:8" x14ac:dyDescent="0.2">
      <c r="A1358" s="310" t="s">
        <v>1358</v>
      </c>
      <c r="B1358" s="310" t="s">
        <v>1375</v>
      </c>
      <c r="C1358" s="309">
        <v>42289</v>
      </c>
      <c r="D1358" s="308" t="s">
        <v>1414</v>
      </c>
      <c r="E1358" s="307">
        <v>1</v>
      </c>
      <c r="F1358" s="311">
        <v>300</v>
      </c>
      <c r="G1358" s="307">
        <v>81</v>
      </c>
    </row>
    <row r="1359" spans="1:8" x14ac:dyDescent="0.2">
      <c r="A1359" s="310" t="s">
        <v>1358</v>
      </c>
      <c r="B1359" s="310" t="s">
        <v>1375</v>
      </c>
      <c r="C1359" s="309">
        <v>42648</v>
      </c>
      <c r="D1359" s="308" t="s">
        <v>3070</v>
      </c>
      <c r="E1359" s="307">
        <v>1</v>
      </c>
      <c r="F1359" s="311">
        <v>320</v>
      </c>
      <c r="G1359" s="307">
        <v>81</v>
      </c>
    </row>
    <row r="1360" spans="1:8" x14ac:dyDescent="0.2">
      <c r="A1360" s="310" t="s">
        <v>1319</v>
      </c>
      <c r="B1360" s="310" t="s">
        <v>1371</v>
      </c>
      <c r="C1360" s="309">
        <v>42258</v>
      </c>
      <c r="D1360" s="308" t="s">
        <v>2002</v>
      </c>
      <c r="E1360" s="307">
        <v>1</v>
      </c>
      <c r="F1360" s="311">
        <v>100</v>
      </c>
      <c r="G1360" s="306">
        <f>78+(4)</f>
        <v>82</v>
      </c>
    </row>
    <row r="1361" spans="1:8" x14ac:dyDescent="0.2">
      <c r="A1361" s="310" t="s">
        <v>1319</v>
      </c>
      <c r="B1361" s="310" t="s">
        <v>1367</v>
      </c>
      <c r="C1361" s="309">
        <v>42332</v>
      </c>
      <c r="D1361" s="308" t="s">
        <v>1807</v>
      </c>
      <c r="E1361" s="307">
        <v>1</v>
      </c>
      <c r="F1361" s="311">
        <v>100</v>
      </c>
      <c r="G1361" s="306">
        <v>82</v>
      </c>
    </row>
    <row r="1362" spans="1:8" x14ac:dyDescent="0.2">
      <c r="A1362" s="310" t="s">
        <v>1319</v>
      </c>
      <c r="B1362" s="310" t="s">
        <v>1373</v>
      </c>
      <c r="C1362" s="309">
        <v>42415</v>
      </c>
      <c r="D1362" s="308" t="s">
        <v>2062</v>
      </c>
      <c r="E1362" s="307">
        <v>1</v>
      </c>
      <c r="F1362" s="311">
        <v>120</v>
      </c>
      <c r="G1362" s="306">
        <f>89-(7)</f>
        <v>82</v>
      </c>
      <c r="H1362" s="305"/>
    </row>
    <row r="1363" spans="1:8" x14ac:dyDescent="0.2">
      <c r="A1363" s="310" t="s">
        <v>1319</v>
      </c>
      <c r="B1363" s="310" t="s">
        <v>1371</v>
      </c>
      <c r="C1363" s="309">
        <v>42476</v>
      </c>
      <c r="D1363" s="308" t="s">
        <v>2111</v>
      </c>
      <c r="E1363" s="307">
        <v>1</v>
      </c>
      <c r="F1363" s="311">
        <v>120</v>
      </c>
      <c r="G1363" s="306">
        <f>78+(4)</f>
        <v>82</v>
      </c>
    </row>
    <row r="1364" spans="1:8" x14ac:dyDescent="0.2">
      <c r="A1364" s="310" t="s">
        <v>1319</v>
      </c>
      <c r="B1364" s="310" t="s">
        <v>1371</v>
      </c>
      <c r="C1364" s="309">
        <v>42476</v>
      </c>
      <c r="D1364" s="308" t="s">
        <v>2108</v>
      </c>
      <c r="E1364" s="307">
        <v>1</v>
      </c>
      <c r="F1364" s="311">
        <v>120</v>
      </c>
      <c r="G1364" s="306">
        <f>78+(4)</f>
        <v>82</v>
      </c>
    </row>
    <row r="1365" spans="1:8" x14ac:dyDescent="0.2">
      <c r="A1365" s="310" t="s">
        <v>1374</v>
      </c>
      <c r="B1365" s="310" t="s">
        <v>1369</v>
      </c>
      <c r="C1365" s="309">
        <v>42531</v>
      </c>
      <c r="D1365" s="308" t="s">
        <v>2245</v>
      </c>
      <c r="E1365" s="307">
        <v>1</v>
      </c>
      <c r="F1365" s="311">
        <v>320</v>
      </c>
      <c r="G1365" s="307">
        <v>82</v>
      </c>
    </row>
    <row r="1366" spans="1:8" x14ac:dyDescent="0.2">
      <c r="A1366" s="310" t="s">
        <v>1372</v>
      </c>
      <c r="B1366" s="310" t="s">
        <v>1363</v>
      </c>
      <c r="C1366" s="309">
        <v>42685</v>
      </c>
      <c r="D1366" s="308" t="s">
        <v>2304</v>
      </c>
      <c r="E1366" s="307">
        <v>1</v>
      </c>
      <c r="F1366" s="311">
        <v>310</v>
      </c>
      <c r="G1366" s="307">
        <v>82</v>
      </c>
    </row>
    <row r="1367" spans="1:8" x14ac:dyDescent="0.2">
      <c r="A1367" s="310" t="s">
        <v>1372</v>
      </c>
      <c r="B1367" s="310" t="s">
        <v>1363</v>
      </c>
      <c r="C1367" s="309">
        <v>42685</v>
      </c>
      <c r="D1367" s="308" t="s">
        <v>2292</v>
      </c>
      <c r="E1367" s="307">
        <v>1</v>
      </c>
      <c r="F1367" s="311">
        <v>310</v>
      </c>
      <c r="G1367" s="307">
        <v>82</v>
      </c>
    </row>
    <row r="1368" spans="1:8" x14ac:dyDescent="0.2">
      <c r="A1368" s="310" t="s">
        <v>1372</v>
      </c>
      <c r="B1368" s="310" t="s">
        <v>1363</v>
      </c>
      <c r="C1368" s="309">
        <v>42685</v>
      </c>
      <c r="D1368" s="308" t="s">
        <v>2293</v>
      </c>
      <c r="E1368" s="307">
        <v>1</v>
      </c>
      <c r="F1368" s="311">
        <v>310</v>
      </c>
      <c r="G1368" s="307">
        <v>82</v>
      </c>
    </row>
    <row r="1369" spans="1:8" x14ac:dyDescent="0.2">
      <c r="A1369" s="310" t="s">
        <v>1370</v>
      </c>
      <c r="B1369" s="310" t="s">
        <v>1361</v>
      </c>
      <c r="C1369" s="309">
        <v>42139</v>
      </c>
      <c r="D1369" s="308" t="s">
        <v>1744</v>
      </c>
      <c r="E1369" s="307">
        <v>1</v>
      </c>
      <c r="F1369" s="311">
        <v>500</v>
      </c>
      <c r="G1369" s="303">
        <f>87-(5)</f>
        <v>82</v>
      </c>
    </row>
    <row r="1370" spans="1:8" x14ac:dyDescent="0.2">
      <c r="A1370" s="310" t="s">
        <v>1370</v>
      </c>
      <c r="B1370" s="310" t="s">
        <v>1361</v>
      </c>
      <c r="C1370" s="309">
        <v>42447</v>
      </c>
      <c r="D1370" s="308" t="s">
        <v>2399</v>
      </c>
      <c r="E1370" s="307">
        <v>1</v>
      </c>
      <c r="F1370" s="311">
        <v>500</v>
      </c>
      <c r="G1370" s="303">
        <f>87-(5)</f>
        <v>82</v>
      </c>
    </row>
    <row r="1371" spans="1:8" x14ac:dyDescent="0.2">
      <c r="A1371" s="310" t="s">
        <v>1368</v>
      </c>
      <c r="B1371" s="310" t="s">
        <v>1367</v>
      </c>
      <c r="C1371" s="309">
        <v>42170</v>
      </c>
      <c r="D1371" s="308" t="s">
        <v>1775</v>
      </c>
      <c r="E1371" s="307">
        <v>1</v>
      </c>
      <c r="F1371" s="311">
        <v>200</v>
      </c>
      <c r="G1371" s="306">
        <v>82</v>
      </c>
      <c r="H1371" s="305"/>
    </row>
    <row r="1372" spans="1:8" x14ac:dyDescent="0.2">
      <c r="A1372" s="310" t="s">
        <v>1368</v>
      </c>
      <c r="B1372" s="310" t="s">
        <v>1367</v>
      </c>
      <c r="C1372" s="309">
        <v>42545</v>
      </c>
      <c r="D1372" s="308" t="s">
        <v>2575</v>
      </c>
      <c r="E1372" s="307">
        <v>1</v>
      </c>
      <c r="F1372" s="311">
        <v>200</v>
      </c>
      <c r="G1372" s="306">
        <v>82</v>
      </c>
    </row>
    <row r="1373" spans="1:8" x14ac:dyDescent="0.2">
      <c r="A1373" s="310" t="s">
        <v>1366</v>
      </c>
      <c r="B1373" s="310" t="s">
        <v>1376</v>
      </c>
      <c r="C1373" s="309">
        <v>42562</v>
      </c>
      <c r="D1373" s="308" t="s">
        <v>2686</v>
      </c>
      <c r="E1373" s="307">
        <v>1</v>
      </c>
      <c r="F1373" s="311">
        <v>380</v>
      </c>
      <c r="G1373" s="306">
        <v>82</v>
      </c>
    </row>
    <row r="1374" spans="1:8" x14ac:dyDescent="0.2">
      <c r="A1374" s="310" t="s">
        <v>1364</v>
      </c>
      <c r="B1374" s="310" t="s">
        <v>1367</v>
      </c>
      <c r="C1374" s="309">
        <v>42638</v>
      </c>
      <c r="D1374" s="308" t="s">
        <v>2799</v>
      </c>
      <c r="E1374" s="307">
        <v>1</v>
      </c>
      <c r="F1374" s="311">
        <v>650</v>
      </c>
      <c r="G1374" s="306">
        <v>82</v>
      </c>
    </row>
    <row r="1375" spans="1:8" x14ac:dyDescent="0.2">
      <c r="A1375" s="310" t="s">
        <v>1364</v>
      </c>
      <c r="B1375" s="310" t="s">
        <v>1367</v>
      </c>
      <c r="C1375" s="309">
        <v>42638</v>
      </c>
      <c r="D1375" s="308" t="s">
        <v>2776</v>
      </c>
      <c r="E1375" s="307">
        <v>1</v>
      </c>
      <c r="F1375" s="311">
        <v>650</v>
      </c>
      <c r="G1375" s="306">
        <v>82</v>
      </c>
      <c r="H1375" s="305"/>
    </row>
    <row r="1376" spans="1:8" x14ac:dyDescent="0.2">
      <c r="A1376" s="310" t="s">
        <v>1364</v>
      </c>
      <c r="B1376" s="310" t="s">
        <v>1367</v>
      </c>
      <c r="C1376" s="309">
        <v>42638</v>
      </c>
      <c r="D1376" s="308" t="s">
        <v>2783</v>
      </c>
      <c r="E1376" s="307">
        <v>1</v>
      </c>
      <c r="F1376" s="311">
        <v>650</v>
      </c>
      <c r="G1376" s="306">
        <v>82</v>
      </c>
    </row>
    <row r="1377" spans="1:8" x14ac:dyDescent="0.2">
      <c r="A1377" s="310" t="s">
        <v>1362</v>
      </c>
      <c r="B1377" s="310" t="s">
        <v>1365</v>
      </c>
      <c r="C1377" s="309">
        <v>42592</v>
      </c>
      <c r="D1377" s="308" t="s">
        <v>2215</v>
      </c>
      <c r="E1377" s="307">
        <v>1</v>
      </c>
      <c r="F1377" s="311">
        <v>400</v>
      </c>
      <c r="G1377" s="303">
        <f>94-(12)</f>
        <v>82</v>
      </c>
    </row>
    <row r="1378" spans="1:8" x14ac:dyDescent="0.2">
      <c r="A1378" s="310" t="s">
        <v>1362</v>
      </c>
      <c r="B1378" s="310" t="s">
        <v>1365</v>
      </c>
      <c r="C1378" s="309">
        <v>42654</v>
      </c>
      <c r="D1378" s="308" t="s">
        <v>2905</v>
      </c>
      <c r="E1378" s="307">
        <v>1</v>
      </c>
      <c r="F1378" s="311">
        <v>400</v>
      </c>
      <c r="G1378" s="303">
        <f>94-(12)</f>
        <v>82</v>
      </c>
    </row>
    <row r="1379" spans="1:8" x14ac:dyDescent="0.2">
      <c r="A1379" s="310" t="s">
        <v>1360</v>
      </c>
      <c r="B1379" s="310" t="s">
        <v>1371</v>
      </c>
      <c r="C1379" s="309">
        <v>42022</v>
      </c>
      <c r="D1379" s="308" t="s">
        <v>1552</v>
      </c>
      <c r="E1379" s="307">
        <v>1</v>
      </c>
      <c r="F1379" s="311">
        <v>250</v>
      </c>
      <c r="G1379" s="306">
        <f>78+(4)</f>
        <v>82</v>
      </c>
      <c r="H1379" s="305"/>
    </row>
    <row r="1380" spans="1:8" x14ac:dyDescent="0.2">
      <c r="A1380" s="310" t="s">
        <v>1359</v>
      </c>
      <c r="B1380" s="310" t="s">
        <v>1363</v>
      </c>
      <c r="C1380" s="309">
        <v>42424</v>
      </c>
      <c r="D1380" s="308" t="s">
        <v>2956</v>
      </c>
      <c r="E1380" s="307">
        <v>1</v>
      </c>
      <c r="F1380" s="311">
        <v>400</v>
      </c>
      <c r="G1380" s="307">
        <v>82</v>
      </c>
    </row>
    <row r="1381" spans="1:8" x14ac:dyDescent="0.2">
      <c r="A1381" s="310" t="s">
        <v>1359</v>
      </c>
      <c r="B1381" s="310" t="s">
        <v>1363</v>
      </c>
      <c r="C1381" s="309">
        <v>42424</v>
      </c>
      <c r="D1381" s="308" t="s">
        <v>2985</v>
      </c>
      <c r="E1381" s="307">
        <v>1</v>
      </c>
      <c r="F1381" s="311">
        <v>400</v>
      </c>
      <c r="G1381" s="307">
        <v>82</v>
      </c>
      <c r="H1381" s="305"/>
    </row>
    <row r="1382" spans="1:8" x14ac:dyDescent="0.2">
      <c r="A1382" s="310" t="s">
        <v>1358</v>
      </c>
      <c r="B1382" s="310" t="s">
        <v>1375</v>
      </c>
      <c r="C1382" s="309">
        <v>42037</v>
      </c>
      <c r="D1382" s="308" t="s">
        <v>1446</v>
      </c>
      <c r="E1382" s="307">
        <v>1</v>
      </c>
      <c r="F1382" s="311">
        <v>300</v>
      </c>
      <c r="G1382" s="307">
        <v>82</v>
      </c>
      <c r="H1382" s="305"/>
    </row>
    <row r="1383" spans="1:8" x14ac:dyDescent="0.2">
      <c r="A1383" s="310" t="s">
        <v>1358</v>
      </c>
      <c r="B1383" s="310" t="s">
        <v>1375</v>
      </c>
      <c r="C1383" s="309">
        <v>42460</v>
      </c>
      <c r="D1383" s="308" t="s">
        <v>3016</v>
      </c>
      <c r="E1383" s="307">
        <v>1</v>
      </c>
      <c r="F1383" s="311">
        <v>320</v>
      </c>
      <c r="G1383" s="307">
        <v>82</v>
      </c>
      <c r="H1383" s="305"/>
    </row>
    <row r="1384" spans="1:8" x14ac:dyDescent="0.2">
      <c r="A1384" s="310" t="s">
        <v>1358</v>
      </c>
      <c r="B1384" s="310" t="s">
        <v>1375</v>
      </c>
      <c r="C1384" s="309">
        <v>42544</v>
      </c>
      <c r="D1384" s="308" t="s">
        <v>3054</v>
      </c>
      <c r="E1384" s="307">
        <v>1</v>
      </c>
      <c r="F1384" s="311">
        <v>320</v>
      </c>
      <c r="G1384" s="307">
        <v>82</v>
      </c>
    </row>
    <row r="1385" spans="1:8" x14ac:dyDescent="0.2">
      <c r="A1385" s="310" t="s">
        <v>1319</v>
      </c>
      <c r="B1385" s="310" t="s">
        <v>1361</v>
      </c>
      <c r="C1385" s="309">
        <v>42019</v>
      </c>
      <c r="D1385" s="308" t="s">
        <v>1859</v>
      </c>
      <c r="E1385" s="307">
        <v>1</v>
      </c>
      <c r="F1385" s="311">
        <v>100</v>
      </c>
      <c r="G1385" s="303">
        <f>88-(5)</f>
        <v>83</v>
      </c>
    </row>
    <row r="1386" spans="1:8" x14ac:dyDescent="0.2">
      <c r="A1386" s="310" t="s">
        <v>1319</v>
      </c>
      <c r="B1386" s="310" t="s">
        <v>1361</v>
      </c>
      <c r="C1386" s="309">
        <v>42019</v>
      </c>
      <c r="D1386" s="308" t="s">
        <v>1970</v>
      </c>
      <c r="E1386" s="307">
        <v>1</v>
      </c>
      <c r="F1386" s="311">
        <v>100</v>
      </c>
      <c r="G1386" s="303">
        <f>88-(5)</f>
        <v>83</v>
      </c>
    </row>
    <row r="1387" spans="1:8" x14ac:dyDescent="0.2">
      <c r="A1387" s="310" t="s">
        <v>1319</v>
      </c>
      <c r="B1387" s="310" t="s">
        <v>1373</v>
      </c>
      <c r="C1387" s="309">
        <v>42084</v>
      </c>
      <c r="D1387" s="308" t="s">
        <v>2018</v>
      </c>
      <c r="E1387" s="307">
        <v>1</v>
      </c>
      <c r="F1387" s="311">
        <v>100</v>
      </c>
      <c r="G1387" s="306">
        <f>90-(7)</f>
        <v>83</v>
      </c>
      <c r="H1387" s="305"/>
    </row>
    <row r="1388" spans="1:8" x14ac:dyDescent="0.2">
      <c r="A1388" s="310" t="s">
        <v>1319</v>
      </c>
      <c r="B1388" s="310" t="s">
        <v>1373</v>
      </c>
      <c r="C1388" s="309">
        <v>42084</v>
      </c>
      <c r="D1388" s="308" t="s">
        <v>1521</v>
      </c>
      <c r="E1388" s="307">
        <v>1</v>
      </c>
      <c r="F1388" s="311">
        <v>100</v>
      </c>
      <c r="G1388" s="306">
        <f>90-(7)</f>
        <v>83</v>
      </c>
    </row>
    <row r="1389" spans="1:8" x14ac:dyDescent="0.2">
      <c r="A1389" s="310" t="s">
        <v>1319</v>
      </c>
      <c r="B1389" s="310" t="s">
        <v>1371</v>
      </c>
      <c r="C1389" s="309">
        <v>42258</v>
      </c>
      <c r="D1389" s="308" t="s">
        <v>2011</v>
      </c>
      <c r="E1389" s="307">
        <v>1</v>
      </c>
      <c r="F1389" s="311">
        <v>100</v>
      </c>
      <c r="G1389" s="306">
        <f>79+(4)</f>
        <v>83</v>
      </c>
    </row>
    <row r="1390" spans="1:8" x14ac:dyDescent="0.2">
      <c r="A1390" s="310" t="s">
        <v>1319</v>
      </c>
      <c r="B1390" s="310" t="s">
        <v>1367</v>
      </c>
      <c r="C1390" s="309">
        <v>42332</v>
      </c>
      <c r="D1390" s="308" t="s">
        <v>1444</v>
      </c>
      <c r="E1390" s="307">
        <v>1</v>
      </c>
      <c r="F1390" s="311">
        <v>100</v>
      </c>
      <c r="G1390" s="306">
        <v>83</v>
      </c>
      <c r="H1390" s="305"/>
    </row>
    <row r="1391" spans="1:8" x14ac:dyDescent="0.2">
      <c r="A1391" s="310" t="s">
        <v>1319</v>
      </c>
      <c r="B1391" s="310" t="s">
        <v>1373</v>
      </c>
      <c r="C1391" s="309">
        <v>42415</v>
      </c>
      <c r="D1391" s="308" t="s">
        <v>2064</v>
      </c>
      <c r="E1391" s="307">
        <v>1</v>
      </c>
      <c r="F1391" s="311">
        <v>120</v>
      </c>
      <c r="G1391" s="306">
        <f>90-(7)</f>
        <v>83</v>
      </c>
    </row>
    <row r="1392" spans="1:8" x14ac:dyDescent="0.2">
      <c r="A1392" s="310" t="s">
        <v>1319</v>
      </c>
      <c r="B1392" s="310" t="s">
        <v>1371</v>
      </c>
      <c r="C1392" s="309">
        <v>42476</v>
      </c>
      <c r="D1392" s="308" t="s">
        <v>2122</v>
      </c>
      <c r="E1392" s="307">
        <v>1</v>
      </c>
      <c r="F1392" s="311">
        <v>120</v>
      </c>
      <c r="G1392" s="306">
        <f>79+(4)</f>
        <v>83</v>
      </c>
    </row>
    <row r="1393" spans="1:8" x14ac:dyDescent="0.2">
      <c r="A1393" s="310" t="s">
        <v>1313</v>
      </c>
      <c r="B1393" s="310" t="s">
        <v>1361</v>
      </c>
      <c r="C1393" s="309">
        <v>42636</v>
      </c>
      <c r="D1393" s="308" t="s">
        <v>2188</v>
      </c>
      <c r="E1393" s="307">
        <v>1</v>
      </c>
      <c r="F1393" s="311">
        <v>210</v>
      </c>
      <c r="G1393" s="303">
        <f>88-(5)</f>
        <v>83</v>
      </c>
      <c r="H1393" s="305"/>
    </row>
    <row r="1394" spans="1:8" x14ac:dyDescent="0.2">
      <c r="A1394" s="310" t="s">
        <v>1374</v>
      </c>
      <c r="B1394" s="310" t="s">
        <v>1369</v>
      </c>
      <c r="C1394" s="309">
        <v>42531</v>
      </c>
      <c r="D1394" s="308" t="s">
        <v>2230</v>
      </c>
      <c r="E1394" s="307">
        <v>1</v>
      </c>
      <c r="F1394" s="311">
        <v>320</v>
      </c>
      <c r="G1394" s="307">
        <v>83</v>
      </c>
      <c r="H1394" s="305"/>
    </row>
    <row r="1395" spans="1:8" x14ac:dyDescent="0.2">
      <c r="A1395" s="310" t="s">
        <v>1372</v>
      </c>
      <c r="B1395" s="310" t="s">
        <v>1363</v>
      </c>
      <c r="C1395" s="309">
        <v>42685</v>
      </c>
      <c r="D1395" s="308" t="s">
        <v>2276</v>
      </c>
      <c r="E1395" s="307">
        <v>1</v>
      </c>
      <c r="F1395" s="311">
        <v>310</v>
      </c>
      <c r="G1395" s="307">
        <v>83</v>
      </c>
      <c r="H1395" s="305"/>
    </row>
    <row r="1396" spans="1:8" x14ac:dyDescent="0.2">
      <c r="A1396" s="310" t="s">
        <v>1370</v>
      </c>
      <c r="B1396" s="310" t="s">
        <v>1361</v>
      </c>
      <c r="C1396" s="309">
        <v>42036</v>
      </c>
      <c r="D1396" s="308" t="s">
        <v>1442</v>
      </c>
      <c r="E1396" s="307">
        <v>1</v>
      </c>
      <c r="F1396" s="311">
        <v>500</v>
      </c>
      <c r="G1396" s="303">
        <f>88-(5)</f>
        <v>83</v>
      </c>
      <c r="H1396" s="305"/>
    </row>
    <row r="1397" spans="1:8" x14ac:dyDescent="0.2">
      <c r="A1397" s="310" t="s">
        <v>1368</v>
      </c>
      <c r="B1397" s="310" t="s">
        <v>1367</v>
      </c>
      <c r="C1397" s="309">
        <v>42282</v>
      </c>
      <c r="D1397" s="308" t="s">
        <v>1771</v>
      </c>
      <c r="E1397" s="307">
        <v>1</v>
      </c>
      <c r="F1397" s="311">
        <v>200</v>
      </c>
      <c r="G1397" s="306">
        <v>83</v>
      </c>
    </row>
    <row r="1398" spans="1:8" x14ac:dyDescent="0.2">
      <c r="A1398" s="310" t="s">
        <v>1368</v>
      </c>
      <c r="B1398" s="310" t="s">
        <v>1371</v>
      </c>
      <c r="C1398" s="309">
        <v>42323</v>
      </c>
      <c r="D1398" s="308" t="s">
        <v>1475</v>
      </c>
      <c r="E1398" s="307">
        <v>1</v>
      </c>
      <c r="F1398" s="311">
        <v>200</v>
      </c>
      <c r="G1398" s="306">
        <f t="shared" ref="G1398:G1403" si="14">79+(4)</f>
        <v>83</v>
      </c>
    </row>
    <row r="1399" spans="1:8" x14ac:dyDescent="0.2">
      <c r="A1399" s="310" t="s">
        <v>1368</v>
      </c>
      <c r="B1399" s="310" t="s">
        <v>1371</v>
      </c>
      <c r="C1399" s="309">
        <v>42340</v>
      </c>
      <c r="D1399" s="308" t="s">
        <v>1852</v>
      </c>
      <c r="E1399" s="307">
        <v>1</v>
      </c>
      <c r="F1399" s="311">
        <v>200</v>
      </c>
      <c r="G1399" s="306">
        <f t="shared" si="14"/>
        <v>83</v>
      </c>
    </row>
    <row r="1400" spans="1:8" x14ac:dyDescent="0.2">
      <c r="A1400" s="310" t="s">
        <v>1368</v>
      </c>
      <c r="B1400" s="310" t="s">
        <v>1371</v>
      </c>
      <c r="C1400" s="309">
        <v>42340</v>
      </c>
      <c r="D1400" s="308" t="s">
        <v>1838</v>
      </c>
      <c r="E1400" s="307">
        <v>1</v>
      </c>
      <c r="F1400" s="311">
        <v>200</v>
      </c>
      <c r="G1400" s="306">
        <f t="shared" si="14"/>
        <v>83</v>
      </c>
    </row>
    <row r="1401" spans="1:8" x14ac:dyDescent="0.2">
      <c r="A1401" s="310" t="s">
        <v>1368</v>
      </c>
      <c r="B1401" s="310" t="s">
        <v>1371</v>
      </c>
      <c r="C1401" s="309">
        <v>42412</v>
      </c>
      <c r="D1401" s="308" t="s">
        <v>2413</v>
      </c>
      <c r="E1401" s="307">
        <v>1</v>
      </c>
      <c r="F1401" s="311">
        <v>200</v>
      </c>
      <c r="G1401" s="306">
        <f t="shared" si="14"/>
        <v>83</v>
      </c>
    </row>
    <row r="1402" spans="1:8" x14ac:dyDescent="0.2">
      <c r="A1402" s="310" t="s">
        <v>1368</v>
      </c>
      <c r="B1402" s="310" t="s">
        <v>1371</v>
      </c>
      <c r="C1402" s="309">
        <v>42412</v>
      </c>
      <c r="D1402" s="308" t="s">
        <v>2180</v>
      </c>
      <c r="E1402" s="307">
        <v>1</v>
      </c>
      <c r="F1402" s="311">
        <v>200</v>
      </c>
      <c r="G1402" s="306">
        <f t="shared" si="14"/>
        <v>83</v>
      </c>
      <c r="H1402" s="305"/>
    </row>
    <row r="1403" spans="1:8" x14ac:dyDescent="0.2">
      <c r="A1403" s="310" t="s">
        <v>1368</v>
      </c>
      <c r="B1403" s="310" t="s">
        <v>1371</v>
      </c>
      <c r="C1403" s="309">
        <v>42412</v>
      </c>
      <c r="D1403" s="308" t="s">
        <v>2433</v>
      </c>
      <c r="E1403" s="307">
        <v>1</v>
      </c>
      <c r="F1403" s="311">
        <v>200</v>
      </c>
      <c r="G1403" s="306">
        <f t="shared" si="14"/>
        <v>83</v>
      </c>
      <c r="H1403" s="305"/>
    </row>
    <row r="1404" spans="1:8" x14ac:dyDescent="0.2">
      <c r="A1404" s="310" t="s">
        <v>1368</v>
      </c>
      <c r="B1404" s="310" t="s">
        <v>1367</v>
      </c>
      <c r="C1404" s="309">
        <v>42439</v>
      </c>
      <c r="D1404" s="308" t="s">
        <v>2459</v>
      </c>
      <c r="E1404" s="307">
        <v>1</v>
      </c>
      <c r="F1404" s="311">
        <v>200</v>
      </c>
      <c r="G1404" s="306">
        <v>83</v>
      </c>
    </row>
    <row r="1405" spans="1:8" x14ac:dyDescent="0.2">
      <c r="A1405" s="310" t="s">
        <v>1368</v>
      </c>
      <c r="B1405" s="310" t="s">
        <v>1367</v>
      </c>
      <c r="C1405" s="309">
        <v>42485</v>
      </c>
      <c r="D1405" s="308" t="s">
        <v>2503</v>
      </c>
      <c r="E1405" s="307">
        <v>1</v>
      </c>
      <c r="F1405" s="311">
        <v>200</v>
      </c>
      <c r="G1405" s="306">
        <v>83</v>
      </c>
    </row>
    <row r="1406" spans="1:8" x14ac:dyDescent="0.2">
      <c r="A1406" s="310" t="s">
        <v>1368</v>
      </c>
      <c r="B1406" s="310" t="s">
        <v>1367</v>
      </c>
      <c r="C1406" s="309">
        <v>42490</v>
      </c>
      <c r="D1406" s="308" t="s">
        <v>2519</v>
      </c>
      <c r="E1406" s="307">
        <v>1</v>
      </c>
      <c r="F1406" s="311">
        <v>200</v>
      </c>
      <c r="G1406" s="306">
        <v>83</v>
      </c>
      <c r="H1406" s="305"/>
    </row>
    <row r="1407" spans="1:8" x14ac:dyDescent="0.2">
      <c r="A1407" s="310" t="s">
        <v>1368</v>
      </c>
      <c r="B1407" s="310" t="s">
        <v>1367</v>
      </c>
      <c r="C1407" s="309">
        <v>42505</v>
      </c>
      <c r="D1407" s="308" t="s">
        <v>2562</v>
      </c>
      <c r="E1407" s="307">
        <v>1</v>
      </c>
      <c r="F1407" s="311">
        <v>200</v>
      </c>
      <c r="G1407" s="306">
        <v>83</v>
      </c>
      <c r="H1407" s="305"/>
    </row>
    <row r="1408" spans="1:8" x14ac:dyDescent="0.2">
      <c r="A1408" s="310" t="s">
        <v>1368</v>
      </c>
      <c r="B1408" s="310" t="s">
        <v>1367</v>
      </c>
      <c r="C1408" s="309">
        <v>42505</v>
      </c>
      <c r="D1408" s="308" t="s">
        <v>2556</v>
      </c>
      <c r="E1408" s="307">
        <v>1</v>
      </c>
      <c r="F1408" s="311">
        <v>200</v>
      </c>
      <c r="G1408" s="306">
        <v>83</v>
      </c>
      <c r="H1408" s="305"/>
    </row>
    <row r="1409" spans="1:8" x14ac:dyDescent="0.2">
      <c r="A1409" s="310" t="s">
        <v>1368</v>
      </c>
      <c r="B1409" s="310" t="s">
        <v>1367</v>
      </c>
      <c r="C1409" s="309">
        <v>42563</v>
      </c>
      <c r="D1409" s="308" t="s">
        <v>2595</v>
      </c>
      <c r="E1409" s="307">
        <v>1</v>
      </c>
      <c r="F1409" s="311">
        <v>200</v>
      </c>
      <c r="G1409" s="306">
        <v>83</v>
      </c>
    </row>
    <row r="1410" spans="1:8" x14ac:dyDescent="0.2">
      <c r="A1410" s="310" t="s">
        <v>1368</v>
      </c>
      <c r="B1410" s="310" t="s">
        <v>1367</v>
      </c>
      <c r="C1410" s="309">
        <v>42593</v>
      </c>
      <c r="D1410" s="308" t="s">
        <v>2621</v>
      </c>
      <c r="E1410" s="307">
        <v>1</v>
      </c>
      <c r="F1410" s="311">
        <v>200</v>
      </c>
      <c r="G1410" s="306">
        <v>83</v>
      </c>
    </row>
    <row r="1411" spans="1:8" x14ac:dyDescent="0.2">
      <c r="A1411" s="310" t="s">
        <v>1368</v>
      </c>
      <c r="B1411" s="310" t="s">
        <v>1367</v>
      </c>
      <c r="C1411" s="309">
        <v>42593</v>
      </c>
      <c r="D1411" s="308" t="s">
        <v>2625</v>
      </c>
      <c r="E1411" s="307">
        <v>1</v>
      </c>
      <c r="F1411" s="311">
        <v>200</v>
      </c>
      <c r="G1411" s="306">
        <v>83</v>
      </c>
    </row>
    <row r="1412" spans="1:8" x14ac:dyDescent="0.2">
      <c r="A1412" s="310" t="s">
        <v>1364</v>
      </c>
      <c r="B1412" s="310" t="s">
        <v>1367</v>
      </c>
      <c r="C1412" s="309">
        <v>42091</v>
      </c>
      <c r="D1412" s="308" t="s">
        <v>1673</v>
      </c>
      <c r="E1412" s="307">
        <v>1</v>
      </c>
      <c r="F1412" s="311">
        <v>600</v>
      </c>
      <c r="G1412" s="306">
        <v>83</v>
      </c>
    </row>
    <row r="1413" spans="1:8" x14ac:dyDescent="0.2">
      <c r="A1413" s="310" t="s">
        <v>1364</v>
      </c>
      <c r="B1413" s="310" t="s">
        <v>1371</v>
      </c>
      <c r="C1413" s="309">
        <v>42157</v>
      </c>
      <c r="D1413" s="308" t="s">
        <v>1708</v>
      </c>
      <c r="E1413" s="307">
        <v>1</v>
      </c>
      <c r="F1413" s="311">
        <v>600</v>
      </c>
      <c r="G1413" s="306">
        <f>79+(4)</f>
        <v>83</v>
      </c>
    </row>
    <row r="1414" spans="1:8" x14ac:dyDescent="0.2">
      <c r="A1414" s="310" t="s">
        <v>1364</v>
      </c>
      <c r="B1414" s="310" t="s">
        <v>1371</v>
      </c>
      <c r="C1414" s="309">
        <v>42430</v>
      </c>
      <c r="D1414" s="308" t="s">
        <v>2709</v>
      </c>
      <c r="E1414" s="307">
        <v>1</v>
      </c>
      <c r="F1414" s="311">
        <v>650</v>
      </c>
      <c r="G1414" s="306">
        <f>79+(4)</f>
        <v>83</v>
      </c>
      <c r="H1414" s="305"/>
    </row>
    <row r="1415" spans="1:8" x14ac:dyDescent="0.2">
      <c r="A1415" s="310" t="s">
        <v>1364</v>
      </c>
      <c r="B1415" s="310" t="s">
        <v>1371</v>
      </c>
      <c r="C1415" s="309">
        <v>42430</v>
      </c>
      <c r="D1415" s="308" t="s">
        <v>2707</v>
      </c>
      <c r="E1415" s="307">
        <v>1</v>
      </c>
      <c r="F1415" s="311">
        <v>650</v>
      </c>
      <c r="G1415" s="306">
        <f>79+(4)</f>
        <v>83</v>
      </c>
      <c r="H1415" s="305"/>
    </row>
    <row r="1416" spans="1:8" x14ac:dyDescent="0.2">
      <c r="A1416" s="310" t="s">
        <v>1364</v>
      </c>
      <c r="B1416" s="310" t="s">
        <v>1371</v>
      </c>
      <c r="C1416" s="309">
        <v>42430</v>
      </c>
      <c r="D1416" s="308" t="s">
        <v>2712</v>
      </c>
      <c r="E1416" s="307">
        <v>1</v>
      </c>
      <c r="F1416" s="311">
        <v>650</v>
      </c>
      <c r="G1416" s="306">
        <f>79+(4)</f>
        <v>83</v>
      </c>
      <c r="H1416" s="305"/>
    </row>
    <row r="1417" spans="1:8" x14ac:dyDescent="0.2">
      <c r="A1417" s="310" t="s">
        <v>1364</v>
      </c>
      <c r="B1417" s="310" t="s">
        <v>1367</v>
      </c>
      <c r="C1417" s="309">
        <v>42638</v>
      </c>
      <c r="D1417" s="308" t="s">
        <v>2755</v>
      </c>
      <c r="E1417" s="307">
        <v>1</v>
      </c>
      <c r="F1417" s="311">
        <v>650</v>
      </c>
      <c r="G1417" s="306">
        <v>83</v>
      </c>
    </row>
    <row r="1418" spans="1:8" x14ac:dyDescent="0.2">
      <c r="A1418" s="310" t="s">
        <v>1364</v>
      </c>
      <c r="B1418" s="310" t="s">
        <v>1367</v>
      </c>
      <c r="C1418" s="309">
        <v>42638</v>
      </c>
      <c r="D1418" s="308" t="s">
        <v>2773</v>
      </c>
      <c r="E1418" s="307">
        <v>1</v>
      </c>
      <c r="F1418" s="311">
        <v>650</v>
      </c>
      <c r="G1418" s="306">
        <v>83</v>
      </c>
    </row>
    <row r="1419" spans="1:8" x14ac:dyDescent="0.2">
      <c r="A1419" s="310" t="s">
        <v>1362</v>
      </c>
      <c r="B1419" s="310" t="s">
        <v>1365</v>
      </c>
      <c r="C1419" s="309">
        <v>42058</v>
      </c>
      <c r="D1419" s="308" t="s">
        <v>1634</v>
      </c>
      <c r="E1419" s="307">
        <v>1</v>
      </c>
      <c r="F1419" s="311">
        <v>400</v>
      </c>
      <c r="G1419" s="303">
        <f>95-(12)</f>
        <v>83</v>
      </c>
      <c r="H1419" s="305"/>
    </row>
    <row r="1420" spans="1:8" x14ac:dyDescent="0.2">
      <c r="A1420" s="310" t="s">
        <v>1362</v>
      </c>
      <c r="B1420" s="310" t="s">
        <v>1365</v>
      </c>
      <c r="C1420" s="309">
        <v>42127</v>
      </c>
      <c r="D1420" s="308" t="s">
        <v>1596</v>
      </c>
      <c r="E1420" s="307">
        <v>1</v>
      </c>
      <c r="F1420" s="311">
        <v>400</v>
      </c>
      <c r="G1420" s="303">
        <f>95-(12)</f>
        <v>83</v>
      </c>
      <c r="H1420" s="305"/>
    </row>
    <row r="1421" spans="1:8" x14ac:dyDescent="0.2">
      <c r="A1421" s="310" t="s">
        <v>1362</v>
      </c>
      <c r="B1421" s="310" t="s">
        <v>1365</v>
      </c>
      <c r="C1421" s="309">
        <v>42654</v>
      </c>
      <c r="D1421" s="308" t="s">
        <v>2856</v>
      </c>
      <c r="E1421" s="307">
        <v>1</v>
      </c>
      <c r="F1421" s="311">
        <v>400</v>
      </c>
      <c r="G1421" s="303">
        <f>95-(12)</f>
        <v>83</v>
      </c>
      <c r="H1421" s="305"/>
    </row>
    <row r="1422" spans="1:8" x14ac:dyDescent="0.2">
      <c r="A1422" s="310" t="s">
        <v>1362</v>
      </c>
      <c r="B1422" s="310" t="s">
        <v>1365</v>
      </c>
      <c r="C1422" s="309">
        <v>42654</v>
      </c>
      <c r="D1422" s="308" t="s">
        <v>2880</v>
      </c>
      <c r="E1422" s="307">
        <v>1</v>
      </c>
      <c r="F1422" s="311">
        <v>400</v>
      </c>
      <c r="G1422" s="303">
        <f>95-(12)</f>
        <v>83</v>
      </c>
      <c r="H1422" s="305"/>
    </row>
    <row r="1423" spans="1:8" x14ac:dyDescent="0.2">
      <c r="A1423" s="310" t="s">
        <v>1359</v>
      </c>
      <c r="B1423" s="310" t="s">
        <v>1363</v>
      </c>
      <c r="C1423" s="309">
        <v>42064</v>
      </c>
      <c r="D1423" s="308" t="s">
        <v>1495</v>
      </c>
      <c r="E1423" s="307">
        <v>1</v>
      </c>
      <c r="F1423" s="311">
        <v>400</v>
      </c>
      <c r="G1423" s="307">
        <v>83</v>
      </c>
      <c r="H1423" s="305"/>
    </row>
    <row r="1424" spans="1:8" x14ac:dyDescent="0.2">
      <c r="A1424" s="310" t="s">
        <v>1359</v>
      </c>
      <c r="B1424" s="310" t="s">
        <v>1363</v>
      </c>
      <c r="C1424" s="309">
        <v>42125</v>
      </c>
      <c r="D1424" s="308" t="s">
        <v>1486</v>
      </c>
      <c r="E1424" s="307">
        <v>1</v>
      </c>
      <c r="F1424" s="311">
        <v>400</v>
      </c>
      <c r="G1424" s="307">
        <v>83</v>
      </c>
    </row>
    <row r="1425" spans="1:8" x14ac:dyDescent="0.2">
      <c r="A1425" s="310" t="s">
        <v>1319</v>
      </c>
      <c r="B1425" s="310" t="s">
        <v>1361</v>
      </c>
      <c r="C1425" s="309">
        <v>42019</v>
      </c>
      <c r="D1425" s="308" t="s">
        <v>1778</v>
      </c>
      <c r="E1425" s="307">
        <v>1</v>
      </c>
      <c r="F1425" s="311">
        <v>100</v>
      </c>
      <c r="G1425" s="303">
        <f>89-(5)</f>
        <v>84</v>
      </c>
    </row>
    <row r="1426" spans="1:8" x14ac:dyDescent="0.2">
      <c r="A1426" s="310" t="s">
        <v>1319</v>
      </c>
      <c r="B1426" s="310" t="s">
        <v>1373</v>
      </c>
      <c r="C1426" s="309">
        <v>42084</v>
      </c>
      <c r="D1426" s="308" t="s">
        <v>2016</v>
      </c>
      <c r="E1426" s="307">
        <v>1</v>
      </c>
      <c r="F1426" s="311">
        <v>100</v>
      </c>
      <c r="G1426" s="306">
        <f>91-(7)</f>
        <v>84</v>
      </c>
    </row>
    <row r="1427" spans="1:8" x14ac:dyDescent="0.2">
      <c r="A1427" s="310" t="s">
        <v>1319</v>
      </c>
      <c r="B1427" s="310" t="s">
        <v>1371</v>
      </c>
      <c r="C1427" s="309">
        <v>42258</v>
      </c>
      <c r="D1427" s="308" t="s">
        <v>1751</v>
      </c>
      <c r="E1427" s="307">
        <v>1</v>
      </c>
      <c r="F1427" s="311">
        <v>100</v>
      </c>
      <c r="G1427" s="306">
        <f>80+(4)</f>
        <v>84</v>
      </c>
    </row>
    <row r="1428" spans="1:8" x14ac:dyDescent="0.2">
      <c r="A1428" s="310" t="s">
        <v>1319</v>
      </c>
      <c r="B1428" s="310" t="s">
        <v>1367</v>
      </c>
      <c r="C1428" s="309">
        <v>42332</v>
      </c>
      <c r="D1428" s="308" t="s">
        <v>1910</v>
      </c>
      <c r="E1428" s="307">
        <v>1</v>
      </c>
      <c r="F1428" s="311">
        <v>100</v>
      </c>
      <c r="G1428" s="306">
        <v>84</v>
      </c>
    </row>
    <row r="1429" spans="1:8" x14ac:dyDescent="0.2">
      <c r="A1429" s="310" t="s">
        <v>1319</v>
      </c>
      <c r="B1429" s="310" t="s">
        <v>1373</v>
      </c>
      <c r="C1429" s="309">
        <v>42415</v>
      </c>
      <c r="D1429" s="308" t="s">
        <v>2058</v>
      </c>
      <c r="E1429" s="307">
        <v>1</v>
      </c>
      <c r="F1429" s="311">
        <v>120</v>
      </c>
      <c r="G1429" s="306">
        <f>91-(7)</f>
        <v>84</v>
      </c>
    </row>
    <row r="1430" spans="1:8" x14ac:dyDescent="0.2">
      <c r="A1430" s="310" t="s">
        <v>1313</v>
      </c>
      <c r="B1430" s="310" t="s">
        <v>1361</v>
      </c>
      <c r="C1430" s="309">
        <v>42636</v>
      </c>
      <c r="D1430" s="308" t="s">
        <v>2214</v>
      </c>
      <c r="E1430" s="307">
        <v>1</v>
      </c>
      <c r="F1430" s="311">
        <v>210</v>
      </c>
      <c r="G1430" s="303">
        <f>89-(5)</f>
        <v>84</v>
      </c>
      <c r="H1430" s="305"/>
    </row>
    <row r="1431" spans="1:8" x14ac:dyDescent="0.2">
      <c r="A1431" s="310" t="s">
        <v>1374</v>
      </c>
      <c r="B1431" s="310" t="s">
        <v>1369</v>
      </c>
      <c r="C1431" s="309">
        <v>42227</v>
      </c>
      <c r="D1431" s="308" t="s">
        <v>1575</v>
      </c>
      <c r="E1431" s="307">
        <v>1</v>
      </c>
      <c r="F1431" s="311">
        <v>300</v>
      </c>
      <c r="G1431" s="307">
        <v>84</v>
      </c>
      <c r="H1431" s="305"/>
    </row>
    <row r="1432" spans="1:8" x14ac:dyDescent="0.2">
      <c r="A1432" s="310" t="s">
        <v>1374</v>
      </c>
      <c r="B1432" s="310" t="s">
        <v>1369</v>
      </c>
      <c r="C1432" s="309">
        <v>42531</v>
      </c>
      <c r="D1432" s="308" t="s">
        <v>2260</v>
      </c>
      <c r="E1432" s="307">
        <v>1</v>
      </c>
      <c r="F1432" s="311">
        <v>320</v>
      </c>
      <c r="G1432" s="307">
        <v>84</v>
      </c>
      <c r="H1432" s="305"/>
    </row>
    <row r="1433" spans="1:8" x14ac:dyDescent="0.2">
      <c r="A1433" s="310" t="s">
        <v>1372</v>
      </c>
      <c r="B1433" s="310" t="s">
        <v>1365</v>
      </c>
      <c r="C1433" s="309">
        <v>42488</v>
      </c>
      <c r="D1433" s="308" t="s">
        <v>2275</v>
      </c>
      <c r="E1433" s="307">
        <v>1</v>
      </c>
      <c r="F1433" s="311">
        <v>310</v>
      </c>
      <c r="G1433" s="303">
        <f>96-(12)</f>
        <v>84</v>
      </c>
      <c r="H1433" s="305"/>
    </row>
    <row r="1434" spans="1:8" x14ac:dyDescent="0.2">
      <c r="A1434" s="310" t="s">
        <v>1370</v>
      </c>
      <c r="B1434" s="310" t="s">
        <v>1361</v>
      </c>
      <c r="C1434" s="309">
        <v>42447</v>
      </c>
      <c r="D1434" s="308" t="s">
        <v>2404</v>
      </c>
      <c r="E1434" s="307">
        <v>1</v>
      </c>
      <c r="F1434" s="311">
        <v>500</v>
      </c>
      <c r="G1434" s="303">
        <f>89-(5)</f>
        <v>84</v>
      </c>
      <c r="H1434" s="305"/>
    </row>
    <row r="1435" spans="1:8" x14ac:dyDescent="0.2">
      <c r="A1435" s="310" t="s">
        <v>1370</v>
      </c>
      <c r="B1435" s="310" t="s">
        <v>1361</v>
      </c>
      <c r="C1435" s="309">
        <v>42447</v>
      </c>
      <c r="D1435" s="308" t="s">
        <v>2401</v>
      </c>
      <c r="E1435" s="307">
        <v>1</v>
      </c>
      <c r="F1435" s="311">
        <v>500</v>
      </c>
      <c r="G1435" s="303">
        <f>89-(5)</f>
        <v>84</v>
      </c>
    </row>
    <row r="1436" spans="1:8" x14ac:dyDescent="0.2">
      <c r="A1436" s="310" t="s">
        <v>1368</v>
      </c>
      <c r="B1436" s="310" t="s">
        <v>1371</v>
      </c>
      <c r="C1436" s="309">
        <v>42323</v>
      </c>
      <c r="D1436" s="308" t="s">
        <v>1886</v>
      </c>
      <c r="E1436" s="307">
        <v>1</v>
      </c>
      <c r="F1436" s="311">
        <v>200</v>
      </c>
      <c r="G1436" s="306">
        <f>80+(4)</f>
        <v>84</v>
      </c>
    </row>
    <row r="1437" spans="1:8" x14ac:dyDescent="0.2">
      <c r="A1437" s="310" t="s">
        <v>1368</v>
      </c>
      <c r="B1437" s="310" t="s">
        <v>1371</v>
      </c>
      <c r="C1437" s="309">
        <v>42323</v>
      </c>
      <c r="D1437" s="308" t="s">
        <v>1879</v>
      </c>
      <c r="E1437" s="307">
        <v>1</v>
      </c>
      <c r="F1437" s="311">
        <v>200</v>
      </c>
      <c r="G1437" s="306">
        <f>80+(4)</f>
        <v>84</v>
      </c>
    </row>
    <row r="1438" spans="1:8" x14ac:dyDescent="0.2">
      <c r="A1438" s="310" t="s">
        <v>1368</v>
      </c>
      <c r="B1438" s="310" t="s">
        <v>1371</v>
      </c>
      <c r="C1438" s="309">
        <v>42412</v>
      </c>
      <c r="D1438" s="308" t="s">
        <v>2410</v>
      </c>
      <c r="E1438" s="307">
        <v>1</v>
      </c>
      <c r="F1438" s="311">
        <v>200</v>
      </c>
      <c r="G1438" s="306">
        <f>80+(4)</f>
        <v>84</v>
      </c>
    </row>
    <row r="1439" spans="1:8" x14ac:dyDescent="0.2">
      <c r="A1439" s="310" t="s">
        <v>1368</v>
      </c>
      <c r="B1439" s="310" t="s">
        <v>1371</v>
      </c>
      <c r="C1439" s="309">
        <v>42412</v>
      </c>
      <c r="D1439" s="308" t="s">
        <v>2420</v>
      </c>
      <c r="E1439" s="307">
        <v>1</v>
      </c>
      <c r="F1439" s="311">
        <v>200</v>
      </c>
      <c r="G1439" s="306">
        <f>80+(4)</f>
        <v>84</v>
      </c>
    </row>
    <row r="1440" spans="1:8" x14ac:dyDescent="0.2">
      <c r="A1440" s="310" t="s">
        <v>1366</v>
      </c>
      <c r="B1440" s="310" t="s">
        <v>1376</v>
      </c>
      <c r="C1440" s="309">
        <v>42562</v>
      </c>
      <c r="D1440" s="308" t="s">
        <v>2652</v>
      </c>
      <c r="E1440" s="307">
        <v>1</v>
      </c>
      <c r="F1440" s="311">
        <v>380</v>
      </c>
      <c r="G1440" s="306">
        <v>84</v>
      </c>
    </row>
    <row r="1441" spans="1:8" x14ac:dyDescent="0.2">
      <c r="A1441" s="310" t="s">
        <v>1364</v>
      </c>
      <c r="B1441" s="310" t="s">
        <v>1367</v>
      </c>
      <c r="C1441" s="309">
        <v>42091</v>
      </c>
      <c r="D1441" s="308" t="s">
        <v>1692</v>
      </c>
      <c r="E1441" s="307">
        <v>1</v>
      </c>
      <c r="F1441" s="311">
        <v>600</v>
      </c>
      <c r="G1441" s="306">
        <v>84</v>
      </c>
      <c r="H1441" s="305"/>
    </row>
    <row r="1442" spans="1:8" x14ac:dyDescent="0.2">
      <c r="A1442" s="310" t="s">
        <v>1364</v>
      </c>
      <c r="B1442" s="310" t="s">
        <v>1367</v>
      </c>
      <c r="C1442" s="309">
        <v>42091</v>
      </c>
      <c r="D1442" s="308" t="s">
        <v>1400</v>
      </c>
      <c r="E1442" s="307">
        <v>1</v>
      </c>
      <c r="F1442" s="311">
        <v>600</v>
      </c>
      <c r="G1442" s="306">
        <v>84</v>
      </c>
      <c r="H1442" s="305"/>
    </row>
    <row r="1443" spans="1:8" x14ac:dyDescent="0.2">
      <c r="A1443" s="310" t="s">
        <v>1364</v>
      </c>
      <c r="B1443" s="310" t="s">
        <v>1371</v>
      </c>
      <c r="C1443" s="309">
        <v>42430</v>
      </c>
      <c r="D1443" s="308" t="s">
        <v>2726</v>
      </c>
      <c r="E1443" s="307">
        <v>1</v>
      </c>
      <c r="F1443" s="311">
        <v>650</v>
      </c>
      <c r="G1443" s="306">
        <f>80+(4)</f>
        <v>84</v>
      </c>
      <c r="H1443" s="305"/>
    </row>
    <row r="1444" spans="1:8" x14ac:dyDescent="0.2">
      <c r="A1444" s="310" t="s">
        <v>1364</v>
      </c>
      <c r="B1444" s="310" t="s">
        <v>1367</v>
      </c>
      <c r="C1444" s="309">
        <v>42638</v>
      </c>
      <c r="D1444" s="308" t="s">
        <v>2738</v>
      </c>
      <c r="E1444" s="307">
        <v>1</v>
      </c>
      <c r="F1444" s="311">
        <v>650</v>
      </c>
      <c r="G1444" s="306">
        <v>84</v>
      </c>
      <c r="H1444" s="305"/>
    </row>
    <row r="1445" spans="1:8" x14ac:dyDescent="0.2">
      <c r="A1445" s="310" t="s">
        <v>1362</v>
      </c>
      <c r="B1445" s="310" t="s">
        <v>1365</v>
      </c>
      <c r="C1445" s="309">
        <v>42127</v>
      </c>
      <c r="D1445" s="308" t="s">
        <v>1599</v>
      </c>
      <c r="E1445" s="307">
        <v>1</v>
      </c>
      <c r="F1445" s="311">
        <v>400</v>
      </c>
      <c r="G1445" s="303">
        <f>96-(12)</f>
        <v>84</v>
      </c>
      <c r="H1445" s="305"/>
    </row>
    <row r="1446" spans="1:8" x14ac:dyDescent="0.2">
      <c r="A1446" s="310" t="s">
        <v>1362</v>
      </c>
      <c r="B1446" s="310" t="s">
        <v>1365</v>
      </c>
      <c r="C1446" s="309">
        <v>42592</v>
      </c>
      <c r="D1446" s="308" t="s">
        <v>2836</v>
      </c>
      <c r="E1446" s="307">
        <v>1</v>
      </c>
      <c r="F1446" s="311">
        <v>400</v>
      </c>
      <c r="G1446" s="303">
        <f>96-(12)</f>
        <v>84</v>
      </c>
      <c r="H1446" s="305"/>
    </row>
    <row r="1447" spans="1:8" x14ac:dyDescent="0.2">
      <c r="A1447" s="310" t="s">
        <v>1362</v>
      </c>
      <c r="B1447" s="310" t="s">
        <v>1365</v>
      </c>
      <c r="C1447" s="309">
        <v>42592</v>
      </c>
      <c r="D1447" s="308" t="s">
        <v>2831</v>
      </c>
      <c r="E1447" s="307">
        <v>1</v>
      </c>
      <c r="F1447" s="311">
        <v>400</v>
      </c>
      <c r="G1447" s="303">
        <f>96-(12)</f>
        <v>84</v>
      </c>
      <c r="H1447" s="305"/>
    </row>
    <row r="1448" spans="1:8" x14ac:dyDescent="0.2">
      <c r="A1448" s="310" t="s">
        <v>1362</v>
      </c>
      <c r="B1448" s="310" t="s">
        <v>1365</v>
      </c>
      <c r="C1448" s="309">
        <v>42654</v>
      </c>
      <c r="D1448" s="308" t="s">
        <v>2893</v>
      </c>
      <c r="E1448" s="307">
        <v>1</v>
      </c>
      <c r="F1448" s="311">
        <v>400</v>
      </c>
      <c r="G1448" s="303">
        <f>96-(12)</f>
        <v>84</v>
      </c>
      <c r="H1448" s="305"/>
    </row>
    <row r="1449" spans="1:8" x14ac:dyDescent="0.2">
      <c r="A1449" s="310" t="s">
        <v>1359</v>
      </c>
      <c r="B1449" s="310" t="s">
        <v>1363</v>
      </c>
      <c r="C1449" s="309">
        <v>42064</v>
      </c>
      <c r="D1449" s="308" t="s">
        <v>1545</v>
      </c>
      <c r="E1449" s="307">
        <v>1</v>
      </c>
      <c r="F1449" s="311">
        <v>400</v>
      </c>
      <c r="G1449" s="307">
        <v>84</v>
      </c>
    </row>
    <row r="1450" spans="1:8" x14ac:dyDescent="0.2">
      <c r="A1450" s="310" t="s">
        <v>1359</v>
      </c>
      <c r="B1450" s="310" t="s">
        <v>1363</v>
      </c>
      <c r="C1450" s="309">
        <v>42064</v>
      </c>
      <c r="D1450" s="308" t="s">
        <v>1514</v>
      </c>
      <c r="E1450" s="307">
        <v>1</v>
      </c>
      <c r="F1450" s="311">
        <v>400</v>
      </c>
      <c r="G1450" s="307">
        <v>84</v>
      </c>
    </row>
    <row r="1451" spans="1:8" x14ac:dyDescent="0.2">
      <c r="A1451" s="310" t="s">
        <v>1359</v>
      </c>
      <c r="B1451" s="310" t="s">
        <v>1363</v>
      </c>
      <c r="C1451" s="309">
        <v>42424</v>
      </c>
      <c r="D1451" s="308" t="s">
        <v>2959</v>
      </c>
      <c r="E1451" s="307">
        <v>1</v>
      </c>
      <c r="F1451" s="311">
        <v>400</v>
      </c>
      <c r="G1451" s="307">
        <v>84</v>
      </c>
    </row>
    <row r="1452" spans="1:8" x14ac:dyDescent="0.2">
      <c r="A1452" s="310" t="s">
        <v>1359</v>
      </c>
      <c r="B1452" s="310" t="s">
        <v>1363</v>
      </c>
      <c r="C1452" s="309">
        <v>42623</v>
      </c>
      <c r="D1452" s="308" t="s">
        <v>2993</v>
      </c>
      <c r="E1452" s="307">
        <v>1</v>
      </c>
      <c r="F1452" s="311">
        <v>400</v>
      </c>
      <c r="G1452" s="307">
        <v>84</v>
      </c>
    </row>
    <row r="1453" spans="1:8" x14ac:dyDescent="0.2">
      <c r="A1453" s="310" t="s">
        <v>1358</v>
      </c>
      <c r="B1453" s="310" t="s">
        <v>1375</v>
      </c>
      <c r="C1453" s="309">
        <v>42037</v>
      </c>
      <c r="D1453" s="308" t="s">
        <v>1457</v>
      </c>
      <c r="E1453" s="307">
        <v>1</v>
      </c>
      <c r="F1453" s="311">
        <v>300</v>
      </c>
      <c r="G1453" s="307">
        <v>84</v>
      </c>
    </row>
    <row r="1454" spans="1:8" x14ac:dyDescent="0.2">
      <c r="A1454" s="310" t="s">
        <v>1358</v>
      </c>
      <c r="B1454" s="310" t="s">
        <v>1375</v>
      </c>
      <c r="C1454" s="309">
        <v>42289</v>
      </c>
      <c r="D1454" s="308" t="s">
        <v>1429</v>
      </c>
      <c r="E1454" s="307">
        <v>1</v>
      </c>
      <c r="F1454" s="311">
        <v>300</v>
      </c>
      <c r="G1454" s="307">
        <v>84</v>
      </c>
    </row>
    <row r="1455" spans="1:8" x14ac:dyDescent="0.2">
      <c r="A1455" s="310" t="s">
        <v>1358</v>
      </c>
      <c r="B1455" s="310" t="s">
        <v>1375</v>
      </c>
      <c r="C1455" s="309">
        <v>42289</v>
      </c>
      <c r="D1455" s="308" t="s">
        <v>1416</v>
      </c>
      <c r="E1455" s="307">
        <v>1</v>
      </c>
      <c r="F1455" s="311">
        <v>300</v>
      </c>
      <c r="G1455" s="307">
        <v>84</v>
      </c>
    </row>
    <row r="1456" spans="1:8" x14ac:dyDescent="0.2">
      <c r="A1456" s="310" t="s">
        <v>1358</v>
      </c>
      <c r="B1456" s="310" t="s">
        <v>1375</v>
      </c>
      <c r="C1456" s="309">
        <v>42289</v>
      </c>
      <c r="D1456" s="308" t="s">
        <v>1400</v>
      </c>
      <c r="E1456" s="307">
        <v>1</v>
      </c>
      <c r="F1456" s="311">
        <v>300</v>
      </c>
      <c r="G1456" s="307">
        <v>84</v>
      </c>
    </row>
    <row r="1457" spans="1:8" x14ac:dyDescent="0.2">
      <c r="A1457" s="310" t="s">
        <v>1358</v>
      </c>
      <c r="B1457" s="310" t="s">
        <v>1375</v>
      </c>
      <c r="C1457" s="309">
        <v>42648</v>
      </c>
      <c r="D1457" s="308" t="s">
        <v>3063</v>
      </c>
      <c r="E1457" s="307">
        <v>1</v>
      </c>
      <c r="F1457" s="311">
        <v>320</v>
      </c>
      <c r="G1457" s="307">
        <v>84</v>
      </c>
    </row>
    <row r="1458" spans="1:8" x14ac:dyDescent="0.2">
      <c r="A1458" s="310" t="s">
        <v>1319</v>
      </c>
      <c r="B1458" s="310" t="s">
        <v>1361</v>
      </c>
      <c r="C1458" s="309">
        <v>42019</v>
      </c>
      <c r="D1458" s="308" t="s">
        <v>1991</v>
      </c>
      <c r="E1458" s="307">
        <v>1</v>
      </c>
      <c r="F1458" s="311">
        <v>100</v>
      </c>
      <c r="G1458" s="303">
        <f>90-(5)</f>
        <v>85</v>
      </c>
    </row>
    <row r="1459" spans="1:8" x14ac:dyDescent="0.2">
      <c r="A1459" s="310" t="s">
        <v>1319</v>
      </c>
      <c r="B1459" s="310" t="s">
        <v>1361</v>
      </c>
      <c r="C1459" s="309">
        <v>42019</v>
      </c>
      <c r="D1459" s="308" t="s">
        <v>1731</v>
      </c>
      <c r="E1459" s="307">
        <v>1</v>
      </c>
      <c r="F1459" s="311">
        <v>100</v>
      </c>
      <c r="G1459" s="303">
        <f>90-(5)</f>
        <v>85</v>
      </c>
      <c r="H1459" s="305"/>
    </row>
    <row r="1460" spans="1:8" x14ac:dyDescent="0.2">
      <c r="A1460" s="310" t="s">
        <v>1319</v>
      </c>
      <c r="B1460" s="310" t="s">
        <v>1373</v>
      </c>
      <c r="C1460" s="309">
        <v>42084</v>
      </c>
      <c r="D1460" s="308" t="s">
        <v>2014</v>
      </c>
      <c r="E1460" s="307">
        <v>1</v>
      </c>
      <c r="F1460" s="311">
        <v>100</v>
      </c>
      <c r="G1460" s="306">
        <f>92-(7)</f>
        <v>85</v>
      </c>
    </row>
    <row r="1461" spans="1:8" x14ac:dyDescent="0.2">
      <c r="A1461" s="310" t="s">
        <v>1319</v>
      </c>
      <c r="B1461" s="310" t="s">
        <v>1371</v>
      </c>
      <c r="C1461" s="309">
        <v>42258</v>
      </c>
      <c r="D1461" s="308" t="s">
        <v>2006</v>
      </c>
      <c r="E1461" s="307">
        <v>1</v>
      </c>
      <c r="F1461" s="311">
        <v>100</v>
      </c>
      <c r="G1461" s="306">
        <f>81+(4)</f>
        <v>85</v>
      </c>
    </row>
    <row r="1462" spans="1:8" x14ac:dyDescent="0.2">
      <c r="A1462" s="310" t="s">
        <v>1319</v>
      </c>
      <c r="B1462" s="310" t="s">
        <v>1371</v>
      </c>
      <c r="C1462" s="309">
        <v>42258</v>
      </c>
      <c r="D1462" s="308" t="s">
        <v>1449</v>
      </c>
      <c r="E1462" s="307">
        <v>1</v>
      </c>
      <c r="F1462" s="311">
        <v>100</v>
      </c>
      <c r="G1462" s="306">
        <f>81+(4)</f>
        <v>85</v>
      </c>
    </row>
    <row r="1463" spans="1:8" x14ac:dyDescent="0.2">
      <c r="A1463" s="310" t="s">
        <v>1319</v>
      </c>
      <c r="B1463" s="310" t="s">
        <v>1371</v>
      </c>
      <c r="C1463" s="309">
        <v>42476</v>
      </c>
      <c r="D1463" s="308" t="s">
        <v>2088</v>
      </c>
      <c r="E1463" s="307">
        <v>1</v>
      </c>
      <c r="F1463" s="311">
        <v>120</v>
      </c>
      <c r="G1463" s="306">
        <f>81+(4)</f>
        <v>85</v>
      </c>
    </row>
    <row r="1464" spans="1:8" x14ac:dyDescent="0.2">
      <c r="A1464" s="310" t="s">
        <v>1313</v>
      </c>
      <c r="B1464" s="310" t="s">
        <v>1361</v>
      </c>
      <c r="C1464" s="309">
        <v>42636</v>
      </c>
      <c r="D1464" s="308" t="s">
        <v>2212</v>
      </c>
      <c r="E1464" s="307">
        <v>1</v>
      </c>
      <c r="F1464" s="311">
        <v>210</v>
      </c>
      <c r="G1464" s="303">
        <f>90-(5)</f>
        <v>85</v>
      </c>
    </row>
    <row r="1465" spans="1:8" x14ac:dyDescent="0.2">
      <c r="A1465" s="310" t="s">
        <v>1374</v>
      </c>
      <c r="B1465" s="310" t="s">
        <v>1369</v>
      </c>
      <c r="C1465" s="309">
        <v>42227</v>
      </c>
      <c r="D1465" s="308" t="s">
        <v>1483</v>
      </c>
      <c r="E1465" s="307">
        <v>1</v>
      </c>
      <c r="F1465" s="311">
        <v>300</v>
      </c>
      <c r="G1465" s="307">
        <v>85</v>
      </c>
    </row>
    <row r="1466" spans="1:8" x14ac:dyDescent="0.2">
      <c r="A1466" s="310" t="s">
        <v>1374</v>
      </c>
      <c r="B1466" s="310" t="s">
        <v>1369</v>
      </c>
      <c r="C1466" s="309">
        <v>42227</v>
      </c>
      <c r="D1466" s="308" t="s">
        <v>1961</v>
      </c>
      <c r="E1466" s="307">
        <v>1</v>
      </c>
      <c r="F1466" s="311">
        <v>300</v>
      </c>
      <c r="G1466" s="307">
        <v>85</v>
      </c>
    </row>
    <row r="1467" spans="1:8" x14ac:dyDescent="0.2">
      <c r="A1467" s="310" t="s">
        <v>1372</v>
      </c>
      <c r="B1467" s="310" t="s">
        <v>1365</v>
      </c>
      <c r="C1467" s="309">
        <v>42056</v>
      </c>
      <c r="D1467" s="308" t="s">
        <v>1508</v>
      </c>
      <c r="E1467" s="307">
        <v>1</v>
      </c>
      <c r="F1467" s="311">
        <v>300</v>
      </c>
      <c r="G1467" s="303">
        <f>97-(12)</f>
        <v>85</v>
      </c>
    </row>
    <row r="1468" spans="1:8" x14ac:dyDescent="0.2">
      <c r="A1468" s="310" t="s">
        <v>1372</v>
      </c>
      <c r="B1468" s="310" t="s">
        <v>1363</v>
      </c>
      <c r="C1468" s="309">
        <v>42271</v>
      </c>
      <c r="D1468" s="308" t="s">
        <v>1942</v>
      </c>
      <c r="E1468" s="307">
        <v>1</v>
      </c>
      <c r="F1468" s="311">
        <v>300</v>
      </c>
      <c r="G1468" s="307">
        <v>85</v>
      </c>
    </row>
    <row r="1469" spans="1:8" x14ac:dyDescent="0.2">
      <c r="A1469" s="310" t="s">
        <v>1372</v>
      </c>
      <c r="B1469" s="310" t="s">
        <v>1363</v>
      </c>
      <c r="C1469" s="309">
        <v>42685</v>
      </c>
      <c r="D1469" s="308" t="s">
        <v>2309</v>
      </c>
      <c r="E1469" s="307">
        <v>1</v>
      </c>
      <c r="F1469" s="311">
        <v>310</v>
      </c>
      <c r="G1469" s="307">
        <v>85</v>
      </c>
    </row>
    <row r="1470" spans="1:8" x14ac:dyDescent="0.2">
      <c r="A1470" s="310" t="s">
        <v>1370</v>
      </c>
      <c r="B1470" s="310" t="s">
        <v>1361</v>
      </c>
      <c r="C1470" s="309">
        <v>42036</v>
      </c>
      <c r="D1470" s="308" t="s">
        <v>1925</v>
      </c>
      <c r="E1470" s="307">
        <v>1</v>
      </c>
      <c r="F1470" s="311">
        <v>500</v>
      </c>
      <c r="G1470" s="303">
        <f>90-(5)</f>
        <v>85</v>
      </c>
    </row>
    <row r="1471" spans="1:8" x14ac:dyDescent="0.2">
      <c r="A1471" s="310" t="s">
        <v>1370</v>
      </c>
      <c r="B1471" s="310" t="s">
        <v>1361</v>
      </c>
      <c r="C1471" s="309">
        <v>42036</v>
      </c>
      <c r="D1471" s="308" t="s">
        <v>1860</v>
      </c>
      <c r="E1471" s="307">
        <v>1</v>
      </c>
      <c r="F1471" s="311">
        <v>500</v>
      </c>
      <c r="G1471" s="303">
        <f>90-(5)</f>
        <v>85</v>
      </c>
    </row>
    <row r="1472" spans="1:8" x14ac:dyDescent="0.2">
      <c r="A1472" s="310" t="s">
        <v>1370</v>
      </c>
      <c r="B1472" s="310" t="s">
        <v>1361</v>
      </c>
      <c r="C1472" s="309">
        <v>42139</v>
      </c>
      <c r="D1472" s="308" t="s">
        <v>1663</v>
      </c>
      <c r="E1472" s="307">
        <v>1</v>
      </c>
      <c r="F1472" s="311">
        <v>500</v>
      </c>
      <c r="G1472" s="303">
        <f>90-(5)</f>
        <v>85</v>
      </c>
    </row>
    <row r="1473" spans="1:7" x14ac:dyDescent="0.2">
      <c r="A1473" s="310" t="s">
        <v>1370</v>
      </c>
      <c r="B1473" s="310" t="s">
        <v>1361</v>
      </c>
      <c r="C1473" s="309">
        <v>42447</v>
      </c>
      <c r="D1473" s="308" t="s">
        <v>2388</v>
      </c>
      <c r="E1473" s="307">
        <v>1</v>
      </c>
      <c r="F1473" s="311">
        <v>500</v>
      </c>
      <c r="G1473" s="303">
        <f>90-(5)</f>
        <v>85</v>
      </c>
    </row>
    <row r="1474" spans="1:7" x14ac:dyDescent="0.2">
      <c r="A1474" s="310" t="s">
        <v>1370</v>
      </c>
      <c r="B1474" s="310" t="s">
        <v>1361</v>
      </c>
      <c r="C1474" s="309">
        <v>42447</v>
      </c>
      <c r="D1474" s="308" t="s">
        <v>2382</v>
      </c>
      <c r="E1474" s="307">
        <v>1</v>
      </c>
      <c r="F1474" s="311">
        <v>500</v>
      </c>
      <c r="G1474" s="303">
        <f>90-(5)</f>
        <v>85</v>
      </c>
    </row>
    <row r="1475" spans="1:7" x14ac:dyDescent="0.2">
      <c r="A1475" s="310" t="s">
        <v>1370</v>
      </c>
      <c r="B1475" s="310" t="s">
        <v>1373</v>
      </c>
      <c r="C1475" s="309">
        <v>42658</v>
      </c>
      <c r="D1475" s="308" t="s">
        <v>2339</v>
      </c>
      <c r="E1475" s="307">
        <v>1</v>
      </c>
      <c r="F1475" s="311">
        <v>500</v>
      </c>
      <c r="G1475" s="306">
        <f>92-(7)</f>
        <v>85</v>
      </c>
    </row>
    <row r="1476" spans="1:7" x14ac:dyDescent="0.2">
      <c r="A1476" s="310" t="s">
        <v>1368</v>
      </c>
      <c r="B1476" s="310" t="s">
        <v>1367</v>
      </c>
      <c r="C1476" s="309">
        <v>42068</v>
      </c>
      <c r="D1476" s="308" t="s">
        <v>1532</v>
      </c>
      <c r="E1476" s="307">
        <v>1</v>
      </c>
      <c r="F1476" s="311">
        <v>200</v>
      </c>
      <c r="G1476" s="306">
        <v>85</v>
      </c>
    </row>
    <row r="1477" spans="1:7" x14ac:dyDescent="0.2">
      <c r="A1477" s="310" t="s">
        <v>1368</v>
      </c>
      <c r="B1477" s="310" t="s">
        <v>1367</v>
      </c>
      <c r="C1477" s="309">
        <v>42068</v>
      </c>
      <c r="D1477" s="308" t="s">
        <v>1531</v>
      </c>
      <c r="E1477" s="307">
        <v>1</v>
      </c>
      <c r="F1477" s="311">
        <v>200</v>
      </c>
      <c r="G1477" s="306">
        <v>85</v>
      </c>
    </row>
    <row r="1478" spans="1:7" x14ac:dyDescent="0.2">
      <c r="A1478" s="310" t="s">
        <v>1368</v>
      </c>
      <c r="B1478" s="310" t="s">
        <v>1367</v>
      </c>
      <c r="C1478" s="309">
        <v>42068</v>
      </c>
      <c r="D1478" s="308" t="s">
        <v>1520</v>
      </c>
      <c r="E1478" s="307">
        <v>1</v>
      </c>
      <c r="F1478" s="311">
        <v>200</v>
      </c>
      <c r="G1478" s="306">
        <v>85</v>
      </c>
    </row>
    <row r="1479" spans="1:7" x14ac:dyDescent="0.2">
      <c r="A1479" s="310" t="s">
        <v>1368</v>
      </c>
      <c r="B1479" s="310" t="s">
        <v>1367</v>
      </c>
      <c r="C1479" s="309">
        <v>42068</v>
      </c>
      <c r="D1479" s="308" t="s">
        <v>1815</v>
      </c>
      <c r="E1479" s="307">
        <v>1</v>
      </c>
      <c r="F1479" s="311">
        <v>200</v>
      </c>
      <c r="G1479" s="306">
        <v>85</v>
      </c>
    </row>
    <row r="1480" spans="1:7" x14ac:dyDescent="0.2">
      <c r="A1480" s="310" t="s">
        <v>1368</v>
      </c>
      <c r="B1480" s="310" t="s">
        <v>1367</v>
      </c>
      <c r="C1480" s="309">
        <v>42170</v>
      </c>
      <c r="D1480" s="308" t="s">
        <v>1807</v>
      </c>
      <c r="E1480" s="307">
        <v>1</v>
      </c>
      <c r="F1480" s="311">
        <v>200</v>
      </c>
      <c r="G1480" s="306">
        <v>85</v>
      </c>
    </row>
    <row r="1481" spans="1:7" x14ac:dyDescent="0.2">
      <c r="A1481" s="310" t="s">
        <v>1368</v>
      </c>
      <c r="B1481" s="310" t="s">
        <v>1367</v>
      </c>
      <c r="C1481" s="309">
        <v>42170</v>
      </c>
      <c r="D1481" s="308" t="s">
        <v>1784</v>
      </c>
      <c r="E1481" s="307">
        <v>1</v>
      </c>
      <c r="F1481" s="311">
        <v>200</v>
      </c>
      <c r="G1481" s="306">
        <v>85</v>
      </c>
    </row>
    <row r="1482" spans="1:7" x14ac:dyDescent="0.2">
      <c r="A1482" s="310" t="s">
        <v>1368</v>
      </c>
      <c r="B1482" s="310" t="s">
        <v>1367</v>
      </c>
      <c r="C1482" s="309">
        <v>42170</v>
      </c>
      <c r="D1482" s="308" t="s">
        <v>1781</v>
      </c>
      <c r="E1482" s="307">
        <v>1</v>
      </c>
      <c r="F1482" s="311">
        <v>200</v>
      </c>
      <c r="G1482" s="306">
        <v>85</v>
      </c>
    </row>
    <row r="1483" spans="1:7" x14ac:dyDescent="0.2">
      <c r="A1483" s="310" t="s">
        <v>1368</v>
      </c>
      <c r="B1483" s="310" t="s">
        <v>1371</v>
      </c>
      <c r="C1483" s="309">
        <v>42323</v>
      </c>
      <c r="D1483" s="308" t="s">
        <v>1894</v>
      </c>
      <c r="E1483" s="307">
        <v>1</v>
      </c>
      <c r="F1483" s="311">
        <v>200</v>
      </c>
      <c r="G1483" s="306">
        <f>81+(4)</f>
        <v>85</v>
      </c>
    </row>
    <row r="1484" spans="1:7" x14ac:dyDescent="0.2">
      <c r="A1484" s="310" t="s">
        <v>1368</v>
      </c>
      <c r="B1484" s="310" t="s">
        <v>1371</v>
      </c>
      <c r="C1484" s="309">
        <v>42412</v>
      </c>
      <c r="D1484" s="308" t="s">
        <v>2437</v>
      </c>
      <c r="E1484" s="307">
        <v>1</v>
      </c>
      <c r="F1484" s="311">
        <v>200</v>
      </c>
      <c r="G1484" s="306">
        <f>81+(4)</f>
        <v>85</v>
      </c>
    </row>
    <row r="1485" spans="1:7" x14ac:dyDescent="0.2">
      <c r="A1485" s="310" t="s">
        <v>1368</v>
      </c>
      <c r="B1485" s="310" t="s">
        <v>1367</v>
      </c>
      <c r="C1485" s="309">
        <v>42439</v>
      </c>
      <c r="D1485" s="308" t="s">
        <v>2463</v>
      </c>
      <c r="E1485" s="307">
        <v>1</v>
      </c>
      <c r="F1485" s="311">
        <v>200</v>
      </c>
      <c r="G1485" s="306">
        <v>85</v>
      </c>
    </row>
    <row r="1486" spans="1:7" x14ac:dyDescent="0.2">
      <c r="A1486" s="310" t="s">
        <v>1368</v>
      </c>
      <c r="B1486" s="310" t="s">
        <v>1367</v>
      </c>
      <c r="C1486" s="309">
        <v>42490</v>
      </c>
      <c r="D1486" s="308" t="s">
        <v>2517</v>
      </c>
      <c r="E1486" s="307">
        <v>1</v>
      </c>
      <c r="F1486" s="311">
        <v>200</v>
      </c>
      <c r="G1486" s="306">
        <v>85</v>
      </c>
    </row>
    <row r="1487" spans="1:7" x14ac:dyDescent="0.2">
      <c r="A1487" s="310" t="s">
        <v>1368</v>
      </c>
      <c r="B1487" s="310" t="s">
        <v>1367</v>
      </c>
      <c r="C1487" s="309">
        <v>42545</v>
      </c>
      <c r="D1487" s="308" t="s">
        <v>2573</v>
      </c>
      <c r="E1487" s="307">
        <v>1</v>
      </c>
      <c r="F1487" s="311">
        <v>200</v>
      </c>
      <c r="G1487" s="306">
        <v>85</v>
      </c>
    </row>
    <row r="1488" spans="1:7" x14ac:dyDescent="0.2">
      <c r="A1488" s="310" t="s">
        <v>1368</v>
      </c>
      <c r="B1488" s="310" t="s">
        <v>1367</v>
      </c>
      <c r="C1488" s="309">
        <v>42614</v>
      </c>
      <c r="D1488" s="308" t="s">
        <v>2631</v>
      </c>
      <c r="E1488" s="307">
        <v>1</v>
      </c>
      <c r="F1488" s="311">
        <v>200</v>
      </c>
      <c r="G1488" s="306">
        <v>85</v>
      </c>
    </row>
    <row r="1489" spans="1:7" x14ac:dyDescent="0.2">
      <c r="A1489" s="310" t="s">
        <v>1366</v>
      </c>
      <c r="B1489" s="310" t="s">
        <v>1376</v>
      </c>
      <c r="C1489" s="309">
        <v>42259</v>
      </c>
      <c r="D1489" s="308" t="s">
        <v>1650</v>
      </c>
      <c r="E1489" s="307">
        <v>1</v>
      </c>
      <c r="F1489" s="311">
        <v>350</v>
      </c>
      <c r="G1489" s="306">
        <v>85</v>
      </c>
    </row>
    <row r="1490" spans="1:7" x14ac:dyDescent="0.2">
      <c r="A1490" s="310" t="s">
        <v>1364</v>
      </c>
      <c r="B1490" s="310" t="s">
        <v>1371</v>
      </c>
      <c r="C1490" s="309">
        <v>42157</v>
      </c>
      <c r="D1490" s="308" t="s">
        <v>1710</v>
      </c>
      <c r="E1490" s="307">
        <v>1</v>
      </c>
      <c r="F1490" s="311">
        <v>600</v>
      </c>
      <c r="G1490" s="306">
        <f>81+(4)</f>
        <v>85</v>
      </c>
    </row>
    <row r="1491" spans="1:7" x14ac:dyDescent="0.2">
      <c r="A1491" s="310" t="s">
        <v>1364</v>
      </c>
      <c r="B1491" s="310" t="s">
        <v>1371</v>
      </c>
      <c r="C1491" s="309">
        <v>42265</v>
      </c>
      <c r="D1491" s="308" t="s">
        <v>1541</v>
      </c>
      <c r="E1491" s="307">
        <v>1</v>
      </c>
      <c r="F1491" s="311">
        <v>600</v>
      </c>
      <c r="G1491" s="306">
        <f>81+(4)</f>
        <v>85</v>
      </c>
    </row>
    <row r="1492" spans="1:7" x14ac:dyDescent="0.2">
      <c r="A1492" s="310" t="s">
        <v>1364</v>
      </c>
      <c r="B1492" s="310" t="s">
        <v>1371</v>
      </c>
      <c r="C1492" s="309">
        <v>42430</v>
      </c>
      <c r="D1492" s="308" t="s">
        <v>2716</v>
      </c>
      <c r="E1492" s="307">
        <v>1</v>
      </c>
      <c r="F1492" s="311">
        <v>650</v>
      </c>
      <c r="G1492" s="306">
        <f>81+(4)</f>
        <v>85</v>
      </c>
    </row>
    <row r="1493" spans="1:7" x14ac:dyDescent="0.2">
      <c r="A1493" s="310" t="s">
        <v>1362</v>
      </c>
      <c r="B1493" s="310" t="s">
        <v>1365</v>
      </c>
      <c r="C1493" s="309">
        <v>42127</v>
      </c>
      <c r="D1493" s="308" t="s">
        <v>1611</v>
      </c>
      <c r="E1493" s="307">
        <v>1</v>
      </c>
      <c r="F1493" s="311">
        <v>400</v>
      </c>
      <c r="G1493" s="303">
        <f t="shared" ref="G1493:G1499" si="15">97-(12)</f>
        <v>85</v>
      </c>
    </row>
    <row r="1494" spans="1:7" x14ac:dyDescent="0.2">
      <c r="A1494" s="310" t="s">
        <v>1362</v>
      </c>
      <c r="B1494" s="310" t="s">
        <v>1365</v>
      </c>
      <c r="C1494" s="309">
        <v>42268</v>
      </c>
      <c r="D1494" s="308" t="s">
        <v>1578</v>
      </c>
      <c r="E1494" s="307">
        <v>1</v>
      </c>
      <c r="F1494" s="311">
        <v>400</v>
      </c>
      <c r="G1494" s="303">
        <f t="shared" si="15"/>
        <v>85</v>
      </c>
    </row>
    <row r="1495" spans="1:7" x14ac:dyDescent="0.2">
      <c r="A1495" s="310" t="s">
        <v>1362</v>
      </c>
      <c r="B1495" s="310" t="s">
        <v>1365</v>
      </c>
      <c r="C1495" s="309">
        <v>42592</v>
      </c>
      <c r="D1495" s="308" t="s">
        <v>2821</v>
      </c>
      <c r="E1495" s="307">
        <v>1</v>
      </c>
      <c r="F1495" s="311">
        <v>400</v>
      </c>
      <c r="G1495" s="303">
        <f t="shared" si="15"/>
        <v>85</v>
      </c>
    </row>
    <row r="1496" spans="1:7" x14ac:dyDescent="0.2">
      <c r="A1496" s="310" t="s">
        <v>1362</v>
      </c>
      <c r="B1496" s="310" t="s">
        <v>1365</v>
      </c>
      <c r="C1496" s="309">
        <v>42592</v>
      </c>
      <c r="D1496" s="308" t="s">
        <v>2813</v>
      </c>
      <c r="E1496" s="307">
        <v>1</v>
      </c>
      <c r="F1496" s="311">
        <v>400</v>
      </c>
      <c r="G1496" s="303">
        <f t="shared" si="15"/>
        <v>85</v>
      </c>
    </row>
    <row r="1497" spans="1:7" x14ac:dyDescent="0.2">
      <c r="A1497" s="310" t="s">
        <v>1362</v>
      </c>
      <c r="B1497" s="310" t="s">
        <v>1365</v>
      </c>
      <c r="C1497" s="309">
        <v>42654</v>
      </c>
      <c r="D1497" s="308" t="s">
        <v>2857</v>
      </c>
      <c r="E1497" s="307">
        <v>1</v>
      </c>
      <c r="F1497" s="311">
        <v>400</v>
      </c>
      <c r="G1497" s="303">
        <f t="shared" si="15"/>
        <v>85</v>
      </c>
    </row>
    <row r="1498" spans="1:7" x14ac:dyDescent="0.2">
      <c r="A1498" s="310" t="s">
        <v>1362</v>
      </c>
      <c r="B1498" s="310" t="s">
        <v>1365</v>
      </c>
      <c r="C1498" s="309">
        <v>42654</v>
      </c>
      <c r="D1498" s="308" t="s">
        <v>2885</v>
      </c>
      <c r="E1498" s="307">
        <v>1</v>
      </c>
      <c r="F1498" s="311">
        <v>400</v>
      </c>
      <c r="G1498" s="303">
        <f t="shared" si="15"/>
        <v>85</v>
      </c>
    </row>
    <row r="1499" spans="1:7" x14ac:dyDescent="0.2">
      <c r="A1499" s="310" t="s">
        <v>1362</v>
      </c>
      <c r="B1499" s="310" t="s">
        <v>1365</v>
      </c>
      <c r="C1499" s="309">
        <v>42654</v>
      </c>
      <c r="D1499" s="308" t="s">
        <v>2871</v>
      </c>
      <c r="E1499" s="307">
        <v>1</v>
      </c>
      <c r="F1499" s="311">
        <v>400</v>
      </c>
      <c r="G1499" s="303">
        <f t="shared" si="15"/>
        <v>85</v>
      </c>
    </row>
    <row r="1500" spans="1:7" x14ac:dyDescent="0.2">
      <c r="A1500" s="310" t="s">
        <v>1360</v>
      </c>
      <c r="B1500" s="310" t="s">
        <v>1371</v>
      </c>
      <c r="C1500" s="309">
        <v>42022</v>
      </c>
      <c r="D1500" s="308" t="s">
        <v>1566</v>
      </c>
      <c r="E1500" s="307">
        <v>1</v>
      </c>
      <c r="F1500" s="311">
        <v>250</v>
      </c>
      <c r="G1500" s="306">
        <f>81+(4)</f>
        <v>85</v>
      </c>
    </row>
    <row r="1501" spans="1:7" x14ac:dyDescent="0.2">
      <c r="A1501" s="310" t="s">
        <v>1359</v>
      </c>
      <c r="B1501" s="310" t="s">
        <v>1363</v>
      </c>
      <c r="C1501" s="309">
        <v>42064</v>
      </c>
      <c r="D1501" s="308" t="s">
        <v>1530</v>
      </c>
      <c r="E1501" s="307">
        <v>1</v>
      </c>
      <c r="F1501" s="311">
        <v>400</v>
      </c>
      <c r="G1501" s="307">
        <v>85</v>
      </c>
    </row>
    <row r="1502" spans="1:7" x14ac:dyDescent="0.2">
      <c r="A1502" s="310" t="s">
        <v>1359</v>
      </c>
      <c r="B1502" s="310" t="s">
        <v>1363</v>
      </c>
      <c r="C1502" s="309">
        <v>42064</v>
      </c>
      <c r="D1502" s="308" t="s">
        <v>1519</v>
      </c>
      <c r="E1502" s="307">
        <v>1</v>
      </c>
      <c r="F1502" s="311">
        <v>400</v>
      </c>
      <c r="G1502" s="307">
        <v>85</v>
      </c>
    </row>
    <row r="1503" spans="1:7" x14ac:dyDescent="0.2">
      <c r="A1503" s="310" t="s">
        <v>1358</v>
      </c>
      <c r="B1503" s="310" t="s">
        <v>1375</v>
      </c>
      <c r="C1503" s="309">
        <v>42037</v>
      </c>
      <c r="D1503" s="308" t="s">
        <v>1464</v>
      </c>
      <c r="E1503" s="307">
        <v>1</v>
      </c>
      <c r="F1503" s="311">
        <v>300</v>
      </c>
      <c r="G1503" s="307">
        <v>85</v>
      </c>
    </row>
    <row r="1504" spans="1:7" x14ac:dyDescent="0.2">
      <c r="A1504" s="310" t="s">
        <v>1358</v>
      </c>
      <c r="B1504" s="310" t="s">
        <v>1375</v>
      </c>
      <c r="C1504" s="309">
        <v>42037</v>
      </c>
      <c r="D1504" s="308" t="s">
        <v>1463</v>
      </c>
      <c r="E1504" s="307">
        <v>1</v>
      </c>
      <c r="F1504" s="311">
        <v>300</v>
      </c>
      <c r="G1504" s="307">
        <v>85</v>
      </c>
    </row>
    <row r="1505" spans="1:7" x14ac:dyDescent="0.2">
      <c r="A1505" s="310" t="s">
        <v>1358</v>
      </c>
      <c r="B1505" s="310" t="s">
        <v>1375</v>
      </c>
      <c r="C1505" s="309">
        <v>42460</v>
      </c>
      <c r="D1505" s="308" t="s">
        <v>3011</v>
      </c>
      <c r="E1505" s="307">
        <v>1</v>
      </c>
      <c r="F1505" s="311">
        <v>320</v>
      </c>
      <c r="G1505" s="307">
        <v>85</v>
      </c>
    </row>
    <row r="1506" spans="1:7" x14ac:dyDescent="0.2">
      <c r="A1506" s="310" t="s">
        <v>1358</v>
      </c>
      <c r="B1506" s="310" t="s">
        <v>1375</v>
      </c>
      <c r="C1506" s="309">
        <v>42648</v>
      </c>
      <c r="D1506" s="308" t="s">
        <v>3059</v>
      </c>
      <c r="E1506" s="307">
        <v>1</v>
      </c>
      <c r="F1506" s="311">
        <v>320</v>
      </c>
      <c r="G1506" s="307">
        <v>85</v>
      </c>
    </row>
    <row r="1507" spans="1:7" x14ac:dyDescent="0.2">
      <c r="A1507" s="310" t="s">
        <v>1319</v>
      </c>
      <c r="B1507" s="310" t="s">
        <v>1361</v>
      </c>
      <c r="C1507" s="309">
        <v>42019</v>
      </c>
      <c r="D1507" s="308" t="s">
        <v>1968</v>
      </c>
      <c r="E1507" s="307">
        <v>1</v>
      </c>
      <c r="F1507" s="311">
        <v>100</v>
      </c>
      <c r="G1507" s="303">
        <f>91-(5)</f>
        <v>86</v>
      </c>
    </row>
    <row r="1508" spans="1:7" x14ac:dyDescent="0.2">
      <c r="A1508" s="310" t="s">
        <v>1319</v>
      </c>
      <c r="B1508" s="310" t="s">
        <v>1367</v>
      </c>
      <c r="C1508" s="309">
        <v>42332</v>
      </c>
      <c r="D1508" s="308" t="s">
        <v>1987</v>
      </c>
      <c r="E1508" s="307">
        <v>1</v>
      </c>
      <c r="F1508" s="311">
        <v>100</v>
      </c>
      <c r="G1508" s="306">
        <v>86</v>
      </c>
    </row>
    <row r="1509" spans="1:7" x14ac:dyDescent="0.2">
      <c r="A1509" s="310" t="s">
        <v>1319</v>
      </c>
      <c r="B1509" s="310" t="s">
        <v>1367</v>
      </c>
      <c r="C1509" s="309">
        <v>42332</v>
      </c>
      <c r="D1509" s="308" t="s">
        <v>1894</v>
      </c>
      <c r="E1509" s="307">
        <v>1</v>
      </c>
      <c r="F1509" s="311">
        <v>100</v>
      </c>
      <c r="G1509" s="306">
        <v>86</v>
      </c>
    </row>
    <row r="1510" spans="1:7" x14ac:dyDescent="0.2">
      <c r="A1510" s="310" t="s">
        <v>1319</v>
      </c>
      <c r="B1510" s="310" t="s">
        <v>1367</v>
      </c>
      <c r="C1510" s="309">
        <v>42332</v>
      </c>
      <c r="D1510" s="308" t="s">
        <v>1932</v>
      </c>
      <c r="E1510" s="307">
        <v>1</v>
      </c>
      <c r="F1510" s="311">
        <v>100</v>
      </c>
      <c r="G1510" s="306">
        <v>86</v>
      </c>
    </row>
    <row r="1511" spans="1:7" x14ac:dyDescent="0.2">
      <c r="A1511" s="310" t="s">
        <v>1319</v>
      </c>
      <c r="B1511" s="310" t="s">
        <v>1367</v>
      </c>
      <c r="C1511" s="309">
        <v>42332</v>
      </c>
      <c r="D1511" s="308" t="s">
        <v>1995</v>
      </c>
      <c r="E1511" s="307">
        <v>1</v>
      </c>
      <c r="F1511" s="311">
        <v>100</v>
      </c>
      <c r="G1511" s="306">
        <v>86</v>
      </c>
    </row>
    <row r="1512" spans="1:7" x14ac:dyDescent="0.2">
      <c r="A1512" s="310" t="s">
        <v>1313</v>
      </c>
      <c r="B1512" s="310" t="s">
        <v>1361</v>
      </c>
      <c r="C1512" s="309">
        <v>42177</v>
      </c>
      <c r="D1512" s="308" t="s">
        <v>1460</v>
      </c>
      <c r="E1512" s="307">
        <v>1</v>
      </c>
      <c r="F1512" s="311">
        <v>200</v>
      </c>
      <c r="G1512" s="303">
        <f>91-(5)</f>
        <v>86</v>
      </c>
    </row>
    <row r="1513" spans="1:7" x14ac:dyDescent="0.2">
      <c r="A1513" s="310" t="s">
        <v>1313</v>
      </c>
      <c r="B1513" s="310" t="s">
        <v>1373</v>
      </c>
      <c r="C1513" s="309">
        <v>42384</v>
      </c>
      <c r="D1513" s="308" t="s">
        <v>2172</v>
      </c>
      <c r="E1513" s="307">
        <v>1</v>
      </c>
      <c r="F1513" s="311">
        <v>210</v>
      </c>
      <c r="G1513" s="306">
        <f>93-(7)</f>
        <v>86</v>
      </c>
    </row>
    <row r="1514" spans="1:7" x14ac:dyDescent="0.2">
      <c r="A1514" s="310" t="s">
        <v>1372</v>
      </c>
      <c r="B1514" s="310" t="s">
        <v>1363</v>
      </c>
      <c r="C1514" s="309">
        <v>42271</v>
      </c>
      <c r="D1514" s="308" t="s">
        <v>1948</v>
      </c>
      <c r="E1514" s="307">
        <v>1</v>
      </c>
      <c r="F1514" s="311">
        <v>300</v>
      </c>
      <c r="G1514" s="307">
        <v>86</v>
      </c>
    </row>
    <row r="1515" spans="1:7" x14ac:dyDescent="0.2">
      <c r="A1515" s="310" t="s">
        <v>1372</v>
      </c>
      <c r="B1515" s="310" t="s">
        <v>1363</v>
      </c>
      <c r="C1515" s="309">
        <v>42271</v>
      </c>
      <c r="D1515" s="308" t="s">
        <v>1472</v>
      </c>
      <c r="E1515" s="307">
        <v>1</v>
      </c>
      <c r="F1515" s="311">
        <v>300</v>
      </c>
      <c r="G1515" s="307">
        <v>86</v>
      </c>
    </row>
    <row r="1516" spans="1:7" x14ac:dyDescent="0.2">
      <c r="A1516" s="310" t="s">
        <v>1372</v>
      </c>
      <c r="B1516" s="310" t="s">
        <v>1365</v>
      </c>
      <c r="C1516" s="309">
        <v>42488</v>
      </c>
      <c r="D1516" s="308" t="s">
        <v>2266</v>
      </c>
      <c r="E1516" s="307">
        <v>1</v>
      </c>
      <c r="F1516" s="311">
        <v>310</v>
      </c>
      <c r="G1516" s="303">
        <f>98-(12)</f>
        <v>86</v>
      </c>
    </row>
    <row r="1517" spans="1:7" x14ac:dyDescent="0.2">
      <c r="A1517" s="310" t="s">
        <v>1372</v>
      </c>
      <c r="B1517" s="310" t="s">
        <v>1363</v>
      </c>
      <c r="C1517" s="309">
        <v>42685</v>
      </c>
      <c r="D1517" s="308" t="s">
        <v>2287</v>
      </c>
      <c r="E1517" s="307">
        <v>1</v>
      </c>
      <c r="F1517" s="311">
        <v>310</v>
      </c>
      <c r="G1517" s="307">
        <v>86</v>
      </c>
    </row>
    <row r="1518" spans="1:7" x14ac:dyDescent="0.2">
      <c r="A1518" s="310" t="s">
        <v>1370</v>
      </c>
      <c r="B1518" s="310" t="s">
        <v>1361</v>
      </c>
      <c r="C1518" s="309">
        <v>42447</v>
      </c>
      <c r="D1518" s="308" t="s">
        <v>2392</v>
      </c>
      <c r="E1518" s="307">
        <v>1</v>
      </c>
      <c r="F1518" s="311">
        <v>500</v>
      </c>
      <c r="G1518" s="303">
        <f>91-(5)</f>
        <v>86</v>
      </c>
    </row>
    <row r="1519" spans="1:7" x14ac:dyDescent="0.2">
      <c r="A1519" s="310" t="s">
        <v>1370</v>
      </c>
      <c r="B1519" s="310" t="s">
        <v>1373</v>
      </c>
      <c r="C1519" s="309">
        <v>42658</v>
      </c>
      <c r="D1519" s="308" t="s">
        <v>2332</v>
      </c>
      <c r="E1519" s="307">
        <v>1</v>
      </c>
      <c r="F1519" s="311">
        <v>500</v>
      </c>
      <c r="G1519" s="306">
        <f>93-(7)</f>
        <v>86</v>
      </c>
    </row>
    <row r="1520" spans="1:7" x14ac:dyDescent="0.2">
      <c r="A1520" s="310" t="s">
        <v>1368</v>
      </c>
      <c r="B1520" s="310" t="s">
        <v>1367</v>
      </c>
      <c r="C1520" s="309">
        <v>42068</v>
      </c>
      <c r="D1520" s="308" t="s">
        <v>1829</v>
      </c>
      <c r="E1520" s="307">
        <v>1</v>
      </c>
      <c r="F1520" s="311">
        <v>200</v>
      </c>
      <c r="G1520" s="306">
        <v>86</v>
      </c>
    </row>
    <row r="1521" spans="1:7" x14ac:dyDescent="0.2">
      <c r="A1521" s="310" t="s">
        <v>1368</v>
      </c>
      <c r="B1521" s="310" t="s">
        <v>1367</v>
      </c>
      <c r="C1521" s="309">
        <v>42282</v>
      </c>
      <c r="D1521" s="308" t="s">
        <v>1607</v>
      </c>
      <c r="E1521" s="307">
        <v>1</v>
      </c>
      <c r="F1521" s="311">
        <v>200</v>
      </c>
      <c r="G1521" s="306">
        <v>86</v>
      </c>
    </row>
    <row r="1522" spans="1:7" x14ac:dyDescent="0.2">
      <c r="A1522" s="310" t="s">
        <v>1368</v>
      </c>
      <c r="B1522" s="310" t="s">
        <v>1367</v>
      </c>
      <c r="C1522" s="309">
        <v>42282</v>
      </c>
      <c r="D1522" s="308" t="s">
        <v>1765</v>
      </c>
      <c r="E1522" s="307">
        <v>1</v>
      </c>
      <c r="F1522" s="311">
        <v>200</v>
      </c>
      <c r="G1522" s="306">
        <v>86</v>
      </c>
    </row>
    <row r="1523" spans="1:7" x14ac:dyDescent="0.2">
      <c r="A1523" s="310" t="s">
        <v>1368</v>
      </c>
      <c r="B1523" s="310" t="s">
        <v>1371</v>
      </c>
      <c r="C1523" s="309">
        <v>42340</v>
      </c>
      <c r="D1523" s="308" t="s">
        <v>1678</v>
      </c>
      <c r="E1523" s="307">
        <v>1</v>
      </c>
      <c r="F1523" s="311">
        <v>200</v>
      </c>
      <c r="G1523" s="306">
        <f>82+(4)</f>
        <v>86</v>
      </c>
    </row>
    <row r="1524" spans="1:7" x14ac:dyDescent="0.2">
      <c r="A1524" s="310" t="s">
        <v>1368</v>
      </c>
      <c r="B1524" s="310" t="s">
        <v>1371</v>
      </c>
      <c r="C1524" s="309">
        <v>42340</v>
      </c>
      <c r="D1524" s="308" t="s">
        <v>1458</v>
      </c>
      <c r="E1524" s="307">
        <v>1</v>
      </c>
      <c r="F1524" s="311">
        <v>200</v>
      </c>
      <c r="G1524" s="306">
        <f>82+(4)</f>
        <v>86</v>
      </c>
    </row>
    <row r="1525" spans="1:7" x14ac:dyDescent="0.2">
      <c r="A1525" s="310" t="s">
        <v>1368</v>
      </c>
      <c r="B1525" s="310" t="s">
        <v>1367</v>
      </c>
      <c r="C1525" s="309">
        <v>42461</v>
      </c>
      <c r="D1525" s="308" t="s">
        <v>2496</v>
      </c>
      <c r="E1525" s="307">
        <v>1</v>
      </c>
      <c r="F1525" s="311">
        <v>200</v>
      </c>
      <c r="G1525" s="306">
        <v>86</v>
      </c>
    </row>
    <row r="1526" spans="1:7" x14ac:dyDescent="0.2">
      <c r="A1526" s="310" t="s">
        <v>1368</v>
      </c>
      <c r="B1526" s="310" t="s">
        <v>1367</v>
      </c>
      <c r="C1526" s="309">
        <v>42490</v>
      </c>
      <c r="D1526" s="308" t="s">
        <v>2516</v>
      </c>
      <c r="E1526" s="307">
        <v>1</v>
      </c>
      <c r="F1526" s="311">
        <v>200</v>
      </c>
      <c r="G1526" s="306">
        <v>86</v>
      </c>
    </row>
    <row r="1527" spans="1:7" x14ac:dyDescent="0.2">
      <c r="A1527" s="310" t="s">
        <v>1368</v>
      </c>
      <c r="B1527" s="310" t="s">
        <v>1367</v>
      </c>
      <c r="C1527" s="309">
        <v>42505</v>
      </c>
      <c r="D1527" s="308" t="s">
        <v>2196</v>
      </c>
      <c r="E1527" s="307">
        <v>1</v>
      </c>
      <c r="F1527" s="311">
        <v>200</v>
      </c>
      <c r="G1527" s="306">
        <v>86</v>
      </c>
    </row>
    <row r="1528" spans="1:7" x14ac:dyDescent="0.2">
      <c r="A1528" s="310" t="s">
        <v>1366</v>
      </c>
      <c r="B1528" s="310" t="s">
        <v>1376</v>
      </c>
      <c r="C1528" s="309">
        <v>42259</v>
      </c>
      <c r="D1528" s="308" t="s">
        <v>1434</v>
      </c>
      <c r="E1528" s="307">
        <v>1</v>
      </c>
      <c r="F1528" s="311">
        <v>350</v>
      </c>
      <c r="G1528" s="306">
        <v>86</v>
      </c>
    </row>
    <row r="1529" spans="1:7" x14ac:dyDescent="0.2">
      <c r="A1529" s="310" t="s">
        <v>1366</v>
      </c>
      <c r="B1529" s="310" t="s">
        <v>1376</v>
      </c>
      <c r="C1529" s="309">
        <v>42562</v>
      </c>
      <c r="D1529" s="308" t="s">
        <v>2701</v>
      </c>
      <c r="E1529" s="307">
        <v>1</v>
      </c>
      <c r="F1529" s="311">
        <v>380</v>
      </c>
      <c r="G1529" s="306">
        <v>86</v>
      </c>
    </row>
    <row r="1530" spans="1:7" x14ac:dyDescent="0.2">
      <c r="A1530" s="310" t="s">
        <v>1364</v>
      </c>
      <c r="B1530" s="310" t="s">
        <v>1371</v>
      </c>
      <c r="C1530" s="309">
        <v>42430</v>
      </c>
      <c r="D1530" s="308" t="s">
        <v>2718</v>
      </c>
      <c r="E1530" s="307">
        <v>1</v>
      </c>
      <c r="F1530" s="311">
        <v>650</v>
      </c>
      <c r="G1530" s="306">
        <f>82+(4)</f>
        <v>86</v>
      </c>
    </row>
    <row r="1531" spans="1:7" x14ac:dyDescent="0.2">
      <c r="A1531" s="310" t="s">
        <v>1364</v>
      </c>
      <c r="B1531" s="310" t="s">
        <v>1367</v>
      </c>
      <c r="C1531" s="309">
        <v>42638</v>
      </c>
      <c r="D1531" s="308" t="s">
        <v>2759</v>
      </c>
      <c r="E1531" s="307">
        <v>1</v>
      </c>
      <c r="F1531" s="311">
        <v>650</v>
      </c>
      <c r="G1531" s="306">
        <v>86</v>
      </c>
    </row>
    <row r="1532" spans="1:7" x14ac:dyDescent="0.2">
      <c r="A1532" s="310" t="s">
        <v>1364</v>
      </c>
      <c r="B1532" s="310" t="s">
        <v>1367</v>
      </c>
      <c r="C1532" s="309">
        <v>42638</v>
      </c>
      <c r="D1532" s="308" t="s">
        <v>2802</v>
      </c>
      <c r="E1532" s="307">
        <v>1</v>
      </c>
      <c r="F1532" s="311">
        <v>650</v>
      </c>
      <c r="G1532" s="306">
        <v>86</v>
      </c>
    </row>
    <row r="1533" spans="1:7" x14ac:dyDescent="0.2">
      <c r="A1533" s="310" t="s">
        <v>1362</v>
      </c>
      <c r="B1533" s="310" t="s">
        <v>1365</v>
      </c>
      <c r="C1533" s="309">
        <v>42058</v>
      </c>
      <c r="D1533" s="308" t="s">
        <v>1450</v>
      </c>
      <c r="E1533" s="307">
        <v>1</v>
      </c>
      <c r="F1533" s="311">
        <v>400</v>
      </c>
      <c r="G1533" s="303">
        <f>98-(12)</f>
        <v>86</v>
      </c>
    </row>
    <row r="1534" spans="1:7" x14ac:dyDescent="0.2">
      <c r="A1534" s="310" t="s">
        <v>1362</v>
      </c>
      <c r="B1534" s="310" t="s">
        <v>1365</v>
      </c>
      <c r="C1534" s="309">
        <v>42127</v>
      </c>
      <c r="D1534" s="308" t="s">
        <v>1598</v>
      </c>
      <c r="E1534" s="307">
        <v>1</v>
      </c>
      <c r="F1534" s="311">
        <v>400</v>
      </c>
      <c r="G1534" s="303">
        <f>98-(12)</f>
        <v>86</v>
      </c>
    </row>
    <row r="1535" spans="1:7" x14ac:dyDescent="0.2">
      <c r="A1535" s="310" t="s">
        <v>1362</v>
      </c>
      <c r="B1535" s="310" t="s">
        <v>1365</v>
      </c>
      <c r="C1535" s="309">
        <v>42654</v>
      </c>
      <c r="D1535" s="308" t="s">
        <v>2864</v>
      </c>
      <c r="E1535" s="307">
        <v>1</v>
      </c>
      <c r="F1535" s="311">
        <v>400</v>
      </c>
      <c r="G1535" s="303">
        <f>98-(12)</f>
        <v>86</v>
      </c>
    </row>
    <row r="1536" spans="1:7" x14ac:dyDescent="0.2">
      <c r="A1536" s="310" t="s">
        <v>1358</v>
      </c>
      <c r="B1536" s="310" t="s">
        <v>1375</v>
      </c>
      <c r="C1536" s="309">
        <v>42289</v>
      </c>
      <c r="D1536" s="308" t="s">
        <v>1439</v>
      </c>
      <c r="E1536" s="307">
        <v>1</v>
      </c>
      <c r="F1536" s="311">
        <v>300</v>
      </c>
      <c r="G1536" s="307">
        <v>86</v>
      </c>
    </row>
    <row r="1537" spans="1:7" x14ac:dyDescent="0.2">
      <c r="A1537" s="310" t="s">
        <v>1358</v>
      </c>
      <c r="B1537" s="310" t="s">
        <v>1375</v>
      </c>
      <c r="C1537" s="309">
        <v>42544</v>
      </c>
      <c r="D1537" s="308" t="s">
        <v>3040</v>
      </c>
      <c r="E1537" s="307">
        <v>1</v>
      </c>
      <c r="F1537" s="311">
        <v>320</v>
      </c>
      <c r="G1537" s="307">
        <v>86</v>
      </c>
    </row>
    <row r="1538" spans="1:7" x14ac:dyDescent="0.2">
      <c r="A1538" s="310" t="s">
        <v>1319</v>
      </c>
      <c r="B1538" s="310" t="s">
        <v>1373</v>
      </c>
      <c r="C1538" s="309">
        <v>42084</v>
      </c>
      <c r="D1538" s="308" t="s">
        <v>2021</v>
      </c>
      <c r="E1538" s="307">
        <v>1</v>
      </c>
      <c r="F1538" s="311">
        <v>100</v>
      </c>
      <c r="G1538" s="306">
        <f>94-(7)</f>
        <v>87</v>
      </c>
    </row>
    <row r="1539" spans="1:7" x14ac:dyDescent="0.2">
      <c r="A1539" s="310" t="s">
        <v>1319</v>
      </c>
      <c r="B1539" s="310" t="s">
        <v>1373</v>
      </c>
      <c r="C1539" s="309">
        <v>42084</v>
      </c>
      <c r="D1539" s="308" t="s">
        <v>2020</v>
      </c>
      <c r="E1539" s="307">
        <v>1</v>
      </c>
      <c r="F1539" s="311">
        <v>100</v>
      </c>
      <c r="G1539" s="306">
        <f>94-(7)</f>
        <v>87</v>
      </c>
    </row>
    <row r="1540" spans="1:7" x14ac:dyDescent="0.2">
      <c r="A1540" s="310" t="s">
        <v>1319</v>
      </c>
      <c r="B1540" s="310" t="s">
        <v>1367</v>
      </c>
      <c r="C1540" s="309">
        <v>42332</v>
      </c>
      <c r="D1540" s="308" t="s">
        <v>1690</v>
      </c>
      <c r="E1540" s="307">
        <v>1</v>
      </c>
      <c r="F1540" s="311">
        <v>100</v>
      </c>
      <c r="G1540" s="306">
        <v>87</v>
      </c>
    </row>
    <row r="1541" spans="1:7" x14ac:dyDescent="0.2">
      <c r="A1541" s="310" t="s">
        <v>1319</v>
      </c>
      <c r="B1541" s="310" t="s">
        <v>1371</v>
      </c>
      <c r="C1541" s="309">
        <v>42476</v>
      </c>
      <c r="D1541" s="308" t="s">
        <v>2089</v>
      </c>
      <c r="E1541" s="307">
        <v>1</v>
      </c>
      <c r="F1541" s="311">
        <v>120</v>
      </c>
      <c r="G1541" s="306">
        <f>83+(4)</f>
        <v>87</v>
      </c>
    </row>
    <row r="1542" spans="1:7" x14ac:dyDescent="0.2">
      <c r="A1542" s="310" t="s">
        <v>1313</v>
      </c>
      <c r="B1542" s="310" t="s">
        <v>1361</v>
      </c>
      <c r="C1542" s="309">
        <v>42636</v>
      </c>
      <c r="D1542" s="308" t="s">
        <v>2189</v>
      </c>
      <c r="E1542" s="307">
        <v>1</v>
      </c>
      <c r="F1542" s="311">
        <v>210</v>
      </c>
      <c r="G1542" s="303">
        <f>92-(5)</f>
        <v>87</v>
      </c>
    </row>
    <row r="1543" spans="1:7" x14ac:dyDescent="0.2">
      <c r="A1543" s="310" t="s">
        <v>1374</v>
      </c>
      <c r="B1543" s="310" t="s">
        <v>1369</v>
      </c>
      <c r="C1543" s="309">
        <v>42227</v>
      </c>
      <c r="D1543" s="308" t="s">
        <v>1631</v>
      </c>
      <c r="E1543" s="307">
        <v>1</v>
      </c>
      <c r="F1543" s="311">
        <v>300</v>
      </c>
      <c r="G1543" s="307">
        <v>87</v>
      </c>
    </row>
    <row r="1544" spans="1:7" x14ac:dyDescent="0.2">
      <c r="A1544" s="310" t="s">
        <v>1374</v>
      </c>
      <c r="B1544" s="310" t="s">
        <v>1369</v>
      </c>
      <c r="C1544" s="309">
        <v>42531</v>
      </c>
      <c r="D1544" s="308" t="s">
        <v>2243</v>
      </c>
      <c r="E1544" s="307">
        <v>1</v>
      </c>
      <c r="F1544" s="311">
        <v>320</v>
      </c>
      <c r="G1544" s="307">
        <v>87</v>
      </c>
    </row>
    <row r="1545" spans="1:7" x14ac:dyDescent="0.2">
      <c r="A1545" s="310" t="s">
        <v>1372</v>
      </c>
      <c r="B1545" s="310" t="s">
        <v>1365</v>
      </c>
      <c r="C1545" s="309">
        <v>42056</v>
      </c>
      <c r="D1545" s="308" t="s">
        <v>1792</v>
      </c>
      <c r="E1545" s="307">
        <v>1</v>
      </c>
      <c r="F1545" s="311">
        <v>300</v>
      </c>
      <c r="G1545" s="303">
        <f>99-(12)</f>
        <v>87</v>
      </c>
    </row>
    <row r="1546" spans="1:7" x14ac:dyDescent="0.2">
      <c r="A1546" s="310" t="s">
        <v>1372</v>
      </c>
      <c r="B1546" s="310" t="s">
        <v>1365</v>
      </c>
      <c r="C1546" s="309">
        <v>42056</v>
      </c>
      <c r="D1546" s="308" t="s">
        <v>1752</v>
      </c>
      <c r="E1546" s="307">
        <v>1</v>
      </c>
      <c r="F1546" s="311">
        <v>300</v>
      </c>
      <c r="G1546" s="303">
        <f>99-(12)</f>
        <v>87</v>
      </c>
    </row>
    <row r="1547" spans="1:7" x14ac:dyDescent="0.2">
      <c r="A1547" s="310" t="s">
        <v>1372</v>
      </c>
      <c r="B1547" s="310" t="s">
        <v>1363</v>
      </c>
      <c r="C1547" s="309">
        <v>42271</v>
      </c>
      <c r="D1547" s="308" t="s">
        <v>1949</v>
      </c>
      <c r="E1547" s="307">
        <v>1</v>
      </c>
      <c r="F1547" s="311">
        <v>300</v>
      </c>
      <c r="G1547" s="307">
        <v>87</v>
      </c>
    </row>
    <row r="1548" spans="1:7" x14ac:dyDescent="0.2">
      <c r="A1548" s="310" t="s">
        <v>1372</v>
      </c>
      <c r="B1548" s="310" t="s">
        <v>1363</v>
      </c>
      <c r="C1548" s="309">
        <v>42685</v>
      </c>
      <c r="D1548" s="308" t="s">
        <v>2297</v>
      </c>
      <c r="E1548" s="307">
        <v>1</v>
      </c>
      <c r="F1548" s="311">
        <v>310</v>
      </c>
      <c r="G1548" s="307">
        <v>87</v>
      </c>
    </row>
    <row r="1549" spans="1:7" x14ac:dyDescent="0.2">
      <c r="A1549" s="310" t="s">
        <v>1370</v>
      </c>
      <c r="B1549" s="310" t="s">
        <v>1361</v>
      </c>
      <c r="C1549" s="309">
        <v>42036</v>
      </c>
      <c r="D1549" s="308" t="s">
        <v>1611</v>
      </c>
      <c r="E1549" s="307">
        <v>1</v>
      </c>
      <c r="F1549" s="311">
        <v>500</v>
      </c>
      <c r="G1549" s="303">
        <f>92-(5)</f>
        <v>87</v>
      </c>
    </row>
    <row r="1550" spans="1:7" x14ac:dyDescent="0.2">
      <c r="A1550" s="310" t="s">
        <v>1370</v>
      </c>
      <c r="B1550" s="310" t="s">
        <v>1361</v>
      </c>
      <c r="C1550" s="309">
        <v>42447</v>
      </c>
      <c r="D1550" s="308" t="s">
        <v>2393</v>
      </c>
      <c r="E1550" s="307">
        <v>1</v>
      </c>
      <c r="F1550" s="311">
        <v>500</v>
      </c>
      <c r="G1550" s="303">
        <f>92-(5)</f>
        <v>87</v>
      </c>
    </row>
    <row r="1551" spans="1:7" x14ac:dyDescent="0.2">
      <c r="A1551" s="310" t="s">
        <v>1370</v>
      </c>
      <c r="B1551" s="310" t="s">
        <v>1373</v>
      </c>
      <c r="C1551" s="309">
        <v>42658</v>
      </c>
      <c r="D1551" s="308" t="s">
        <v>2333</v>
      </c>
      <c r="E1551" s="307">
        <v>1</v>
      </c>
      <c r="F1551" s="311">
        <v>500</v>
      </c>
      <c r="G1551" s="306">
        <f>94-(7)</f>
        <v>87</v>
      </c>
    </row>
    <row r="1552" spans="1:7" x14ac:dyDescent="0.2">
      <c r="A1552" s="310" t="s">
        <v>1368</v>
      </c>
      <c r="B1552" s="310" t="s">
        <v>1367</v>
      </c>
      <c r="C1552" s="309">
        <v>42068</v>
      </c>
      <c r="D1552" s="308" t="s">
        <v>1627</v>
      </c>
      <c r="E1552" s="307">
        <v>1</v>
      </c>
      <c r="F1552" s="311">
        <v>200</v>
      </c>
      <c r="G1552" s="306">
        <v>87</v>
      </c>
    </row>
    <row r="1553" spans="1:7" x14ac:dyDescent="0.2">
      <c r="A1553" s="310" t="s">
        <v>1368</v>
      </c>
      <c r="B1553" s="310" t="s">
        <v>1367</v>
      </c>
      <c r="C1553" s="309">
        <v>42282</v>
      </c>
      <c r="D1553" s="308" t="s">
        <v>1473</v>
      </c>
      <c r="E1553" s="307">
        <v>1</v>
      </c>
      <c r="F1553" s="311">
        <v>200</v>
      </c>
      <c r="G1553" s="306">
        <v>87</v>
      </c>
    </row>
    <row r="1554" spans="1:7" x14ac:dyDescent="0.2">
      <c r="A1554" s="310" t="s">
        <v>1368</v>
      </c>
      <c r="B1554" s="310" t="s">
        <v>1371</v>
      </c>
      <c r="C1554" s="309">
        <v>42323</v>
      </c>
      <c r="D1554" s="308" t="s">
        <v>1899</v>
      </c>
      <c r="E1554" s="307">
        <v>1</v>
      </c>
      <c r="F1554" s="311">
        <v>200</v>
      </c>
      <c r="G1554" s="306">
        <f>83+(4)</f>
        <v>87</v>
      </c>
    </row>
    <row r="1555" spans="1:7" x14ac:dyDescent="0.2">
      <c r="A1555" s="310" t="s">
        <v>1368</v>
      </c>
      <c r="B1555" s="310" t="s">
        <v>1371</v>
      </c>
      <c r="C1555" s="309">
        <v>42340</v>
      </c>
      <c r="D1555" s="308" t="s">
        <v>1429</v>
      </c>
      <c r="E1555" s="307">
        <v>1</v>
      </c>
      <c r="F1555" s="311">
        <v>200</v>
      </c>
      <c r="G1555" s="306">
        <f>83+(4)</f>
        <v>87</v>
      </c>
    </row>
    <row r="1556" spans="1:7" x14ac:dyDescent="0.2">
      <c r="A1556" s="310" t="s">
        <v>1368</v>
      </c>
      <c r="B1556" s="310" t="s">
        <v>1371</v>
      </c>
      <c r="C1556" s="309">
        <v>42340</v>
      </c>
      <c r="D1556" s="308" t="s">
        <v>1857</v>
      </c>
      <c r="E1556" s="307">
        <v>1</v>
      </c>
      <c r="F1556" s="311">
        <v>200</v>
      </c>
      <c r="G1556" s="306">
        <f>83+(4)</f>
        <v>87</v>
      </c>
    </row>
    <row r="1557" spans="1:7" x14ac:dyDescent="0.2">
      <c r="A1557" s="310" t="s">
        <v>1368</v>
      </c>
      <c r="B1557" s="310" t="s">
        <v>1371</v>
      </c>
      <c r="C1557" s="309">
        <v>42412</v>
      </c>
      <c r="D1557" s="308" t="s">
        <v>2422</v>
      </c>
      <c r="E1557" s="307">
        <v>1</v>
      </c>
      <c r="F1557" s="311">
        <v>200</v>
      </c>
      <c r="G1557" s="306">
        <f>83+(4)</f>
        <v>87</v>
      </c>
    </row>
    <row r="1558" spans="1:7" x14ac:dyDescent="0.2">
      <c r="A1558" s="310" t="s">
        <v>1368</v>
      </c>
      <c r="B1558" s="310" t="s">
        <v>1367</v>
      </c>
      <c r="C1558" s="309">
        <v>42439</v>
      </c>
      <c r="D1558" s="308" t="s">
        <v>2462</v>
      </c>
      <c r="E1558" s="307">
        <v>1</v>
      </c>
      <c r="F1558" s="311">
        <v>200</v>
      </c>
      <c r="G1558" s="306">
        <v>87</v>
      </c>
    </row>
    <row r="1559" spans="1:7" x14ac:dyDescent="0.2">
      <c r="A1559" s="310" t="s">
        <v>1368</v>
      </c>
      <c r="B1559" s="310" t="s">
        <v>1367</v>
      </c>
      <c r="C1559" s="309">
        <v>42485</v>
      </c>
      <c r="D1559" s="308" t="s">
        <v>2506</v>
      </c>
      <c r="E1559" s="307">
        <v>1</v>
      </c>
      <c r="F1559" s="311">
        <v>200</v>
      </c>
      <c r="G1559" s="306">
        <v>87</v>
      </c>
    </row>
    <row r="1560" spans="1:7" x14ac:dyDescent="0.2">
      <c r="A1560" s="310" t="s">
        <v>1368</v>
      </c>
      <c r="B1560" s="310" t="s">
        <v>1367</v>
      </c>
      <c r="C1560" s="309">
        <v>42485</v>
      </c>
      <c r="D1560" s="308" t="s">
        <v>2510</v>
      </c>
      <c r="E1560" s="307">
        <v>1</v>
      </c>
      <c r="F1560" s="311">
        <v>200</v>
      </c>
      <c r="G1560" s="306">
        <v>87</v>
      </c>
    </row>
    <row r="1561" spans="1:7" x14ac:dyDescent="0.2">
      <c r="A1561" s="310" t="s">
        <v>1368</v>
      </c>
      <c r="B1561" s="310" t="s">
        <v>1367</v>
      </c>
      <c r="C1561" s="309">
        <v>42485</v>
      </c>
      <c r="D1561" s="308" t="s">
        <v>2512</v>
      </c>
      <c r="E1561" s="307">
        <v>1</v>
      </c>
      <c r="F1561" s="311">
        <v>200</v>
      </c>
      <c r="G1561" s="306">
        <v>87</v>
      </c>
    </row>
    <row r="1562" spans="1:7" x14ac:dyDescent="0.2">
      <c r="A1562" s="310" t="s">
        <v>1368</v>
      </c>
      <c r="B1562" s="310" t="s">
        <v>1367</v>
      </c>
      <c r="C1562" s="309">
        <v>42485</v>
      </c>
      <c r="D1562" s="308" t="s">
        <v>2505</v>
      </c>
      <c r="E1562" s="307">
        <v>1</v>
      </c>
      <c r="F1562" s="311">
        <v>200</v>
      </c>
      <c r="G1562" s="306">
        <v>87</v>
      </c>
    </row>
    <row r="1563" spans="1:7" x14ac:dyDescent="0.2">
      <c r="A1563" s="310" t="s">
        <v>1368</v>
      </c>
      <c r="B1563" s="310" t="s">
        <v>1367</v>
      </c>
      <c r="C1563" s="309">
        <v>42545</v>
      </c>
      <c r="D1563" s="308" t="s">
        <v>2578</v>
      </c>
      <c r="E1563" s="307">
        <v>1</v>
      </c>
      <c r="F1563" s="311">
        <v>200</v>
      </c>
      <c r="G1563" s="306">
        <v>87</v>
      </c>
    </row>
    <row r="1564" spans="1:7" x14ac:dyDescent="0.2">
      <c r="A1564" s="310" t="s">
        <v>1368</v>
      </c>
      <c r="B1564" s="310" t="s">
        <v>1367</v>
      </c>
      <c r="C1564" s="309">
        <v>42563</v>
      </c>
      <c r="D1564" s="308" t="s">
        <v>2601</v>
      </c>
      <c r="E1564" s="307">
        <v>1</v>
      </c>
      <c r="F1564" s="311">
        <v>200</v>
      </c>
      <c r="G1564" s="306">
        <v>87</v>
      </c>
    </row>
    <row r="1565" spans="1:7" x14ac:dyDescent="0.2">
      <c r="A1565" s="310" t="s">
        <v>1368</v>
      </c>
      <c r="B1565" s="310" t="s">
        <v>1367</v>
      </c>
      <c r="C1565" s="309">
        <v>42563</v>
      </c>
      <c r="D1565" s="308" t="s">
        <v>2587</v>
      </c>
      <c r="E1565" s="307">
        <v>1</v>
      </c>
      <c r="F1565" s="311">
        <v>200</v>
      </c>
      <c r="G1565" s="306">
        <v>87</v>
      </c>
    </row>
    <row r="1566" spans="1:7" x14ac:dyDescent="0.2">
      <c r="A1566" s="310" t="s">
        <v>1368</v>
      </c>
      <c r="B1566" s="310" t="s">
        <v>1367</v>
      </c>
      <c r="C1566" s="309">
        <v>42593</v>
      </c>
      <c r="D1566" s="308" t="s">
        <v>2615</v>
      </c>
      <c r="E1566" s="307">
        <v>1</v>
      </c>
      <c r="F1566" s="311">
        <v>200</v>
      </c>
      <c r="G1566" s="306">
        <v>87</v>
      </c>
    </row>
    <row r="1567" spans="1:7" x14ac:dyDescent="0.2">
      <c r="A1567" s="310" t="s">
        <v>1368</v>
      </c>
      <c r="B1567" s="310" t="s">
        <v>1367</v>
      </c>
      <c r="C1567" s="309">
        <v>42593</v>
      </c>
      <c r="D1567" s="308" t="s">
        <v>2630</v>
      </c>
      <c r="E1567" s="307">
        <v>1</v>
      </c>
      <c r="F1567" s="311">
        <v>200</v>
      </c>
      <c r="G1567" s="306">
        <v>87</v>
      </c>
    </row>
    <row r="1568" spans="1:7" x14ac:dyDescent="0.2">
      <c r="A1568" s="310" t="s">
        <v>1366</v>
      </c>
      <c r="B1568" s="310" t="s">
        <v>1376</v>
      </c>
      <c r="C1568" s="309">
        <v>42259</v>
      </c>
      <c r="D1568" s="308" t="s">
        <v>1409</v>
      </c>
      <c r="E1568" s="307">
        <v>1</v>
      </c>
      <c r="F1568" s="311">
        <v>350</v>
      </c>
      <c r="G1568" s="306">
        <v>87</v>
      </c>
    </row>
    <row r="1569" spans="1:7" x14ac:dyDescent="0.2">
      <c r="A1569" s="310" t="s">
        <v>1364</v>
      </c>
      <c r="B1569" s="310" t="s">
        <v>1367</v>
      </c>
      <c r="C1569" s="309">
        <v>42091</v>
      </c>
      <c r="D1569" s="308" t="s">
        <v>1691</v>
      </c>
      <c r="E1569" s="307">
        <v>1</v>
      </c>
      <c r="F1569" s="311">
        <v>600</v>
      </c>
      <c r="G1569" s="306">
        <v>87</v>
      </c>
    </row>
    <row r="1570" spans="1:7" x14ac:dyDescent="0.2">
      <c r="A1570" s="310" t="s">
        <v>1364</v>
      </c>
      <c r="B1570" s="310" t="s">
        <v>1367</v>
      </c>
      <c r="C1570" s="309">
        <v>42091</v>
      </c>
      <c r="D1570" s="308" t="s">
        <v>1685</v>
      </c>
      <c r="E1570" s="307">
        <v>1</v>
      </c>
      <c r="F1570" s="311">
        <v>600</v>
      </c>
      <c r="G1570" s="306">
        <v>87</v>
      </c>
    </row>
    <row r="1571" spans="1:7" x14ac:dyDescent="0.2">
      <c r="A1571" s="310" t="s">
        <v>1364</v>
      </c>
      <c r="B1571" s="310" t="s">
        <v>1371</v>
      </c>
      <c r="C1571" s="309">
        <v>42157</v>
      </c>
      <c r="D1571" s="308" t="s">
        <v>1486</v>
      </c>
      <c r="E1571" s="307">
        <v>1</v>
      </c>
      <c r="F1571" s="311">
        <v>600</v>
      </c>
      <c r="G1571" s="306">
        <f>83+(4)</f>
        <v>87</v>
      </c>
    </row>
    <row r="1572" spans="1:7" x14ac:dyDescent="0.2">
      <c r="A1572" s="310" t="s">
        <v>1364</v>
      </c>
      <c r="B1572" s="310" t="s">
        <v>1371</v>
      </c>
      <c r="C1572" s="309">
        <v>42430</v>
      </c>
      <c r="D1572" s="308" t="s">
        <v>2729</v>
      </c>
      <c r="E1572" s="307">
        <v>1</v>
      </c>
      <c r="F1572" s="311">
        <v>650</v>
      </c>
      <c r="G1572" s="306">
        <f>83+(4)</f>
        <v>87</v>
      </c>
    </row>
    <row r="1573" spans="1:7" x14ac:dyDescent="0.2">
      <c r="A1573" s="310" t="s">
        <v>1364</v>
      </c>
      <c r="B1573" s="310" t="s">
        <v>1371</v>
      </c>
      <c r="C1573" s="309">
        <v>42430</v>
      </c>
      <c r="D1573" s="308" t="s">
        <v>2721</v>
      </c>
      <c r="E1573" s="307">
        <v>1</v>
      </c>
      <c r="F1573" s="311">
        <v>650</v>
      </c>
      <c r="G1573" s="306">
        <f>83+(4)</f>
        <v>87</v>
      </c>
    </row>
    <row r="1574" spans="1:7" x14ac:dyDescent="0.2">
      <c r="A1574" s="310" t="s">
        <v>1364</v>
      </c>
      <c r="B1574" s="310" t="s">
        <v>1367</v>
      </c>
      <c r="C1574" s="309">
        <v>42638</v>
      </c>
      <c r="D1574" s="308" t="s">
        <v>2744</v>
      </c>
      <c r="E1574" s="307">
        <v>1</v>
      </c>
      <c r="F1574" s="311">
        <v>650</v>
      </c>
      <c r="G1574" s="306">
        <v>87</v>
      </c>
    </row>
    <row r="1575" spans="1:7" x14ac:dyDescent="0.2">
      <c r="A1575" s="310" t="s">
        <v>1364</v>
      </c>
      <c r="B1575" s="310" t="s">
        <v>1367</v>
      </c>
      <c r="C1575" s="309">
        <v>42638</v>
      </c>
      <c r="D1575" s="308" t="s">
        <v>2080</v>
      </c>
      <c r="E1575" s="307">
        <v>1</v>
      </c>
      <c r="F1575" s="311">
        <v>650</v>
      </c>
      <c r="G1575" s="306">
        <v>87</v>
      </c>
    </row>
    <row r="1576" spans="1:7" x14ac:dyDescent="0.2">
      <c r="A1576" s="310" t="s">
        <v>1364</v>
      </c>
      <c r="B1576" s="310" t="s">
        <v>1367</v>
      </c>
      <c r="C1576" s="309">
        <v>42638</v>
      </c>
      <c r="D1576" s="308" t="s">
        <v>2780</v>
      </c>
      <c r="E1576" s="307">
        <v>1</v>
      </c>
      <c r="F1576" s="311">
        <v>650</v>
      </c>
      <c r="G1576" s="306">
        <v>87</v>
      </c>
    </row>
    <row r="1577" spans="1:7" x14ac:dyDescent="0.2">
      <c r="A1577" s="310" t="s">
        <v>1362</v>
      </c>
      <c r="B1577" s="310" t="s">
        <v>1365</v>
      </c>
      <c r="C1577" s="309">
        <v>42058</v>
      </c>
      <c r="D1577" s="308" t="s">
        <v>1649</v>
      </c>
      <c r="E1577" s="307">
        <v>1</v>
      </c>
      <c r="F1577" s="311">
        <v>400</v>
      </c>
      <c r="G1577" s="303">
        <f>99-(12)</f>
        <v>87</v>
      </c>
    </row>
    <row r="1578" spans="1:7" x14ac:dyDescent="0.2">
      <c r="A1578" s="310" t="s">
        <v>1362</v>
      </c>
      <c r="B1578" s="310" t="s">
        <v>1365</v>
      </c>
      <c r="C1578" s="309">
        <v>42058</v>
      </c>
      <c r="D1578" s="308" t="s">
        <v>1643</v>
      </c>
      <c r="E1578" s="307">
        <v>1</v>
      </c>
      <c r="F1578" s="311">
        <v>400</v>
      </c>
      <c r="G1578" s="303">
        <f>99-(12)</f>
        <v>87</v>
      </c>
    </row>
    <row r="1579" spans="1:7" x14ac:dyDescent="0.2">
      <c r="A1579" s="310" t="s">
        <v>1362</v>
      </c>
      <c r="B1579" s="310" t="s">
        <v>1365</v>
      </c>
      <c r="C1579" s="309">
        <v>42592</v>
      </c>
      <c r="D1579" s="308" t="s">
        <v>2824</v>
      </c>
      <c r="E1579" s="307">
        <v>1</v>
      </c>
      <c r="F1579" s="311">
        <v>400</v>
      </c>
      <c r="G1579" s="303">
        <f>99-(12)</f>
        <v>87</v>
      </c>
    </row>
    <row r="1580" spans="1:7" x14ac:dyDescent="0.2">
      <c r="A1580" s="310" t="s">
        <v>1362</v>
      </c>
      <c r="B1580" s="310" t="s">
        <v>1365</v>
      </c>
      <c r="C1580" s="309">
        <v>42592</v>
      </c>
      <c r="D1580" s="308" t="s">
        <v>2819</v>
      </c>
      <c r="E1580" s="307">
        <v>1</v>
      </c>
      <c r="F1580" s="311">
        <v>400</v>
      </c>
      <c r="G1580" s="303">
        <f>99-(12)</f>
        <v>87</v>
      </c>
    </row>
    <row r="1581" spans="1:7" x14ac:dyDescent="0.2">
      <c r="A1581" s="310" t="s">
        <v>1362</v>
      </c>
      <c r="B1581" s="310" t="s">
        <v>1365</v>
      </c>
      <c r="C1581" s="309">
        <v>42654</v>
      </c>
      <c r="D1581" s="308" t="s">
        <v>2889</v>
      </c>
      <c r="E1581" s="307">
        <v>1</v>
      </c>
      <c r="F1581" s="311">
        <v>400</v>
      </c>
      <c r="G1581" s="303">
        <f>99-(12)</f>
        <v>87</v>
      </c>
    </row>
    <row r="1582" spans="1:7" x14ac:dyDescent="0.2">
      <c r="A1582" s="310" t="s">
        <v>1360</v>
      </c>
      <c r="B1582" s="310" t="s">
        <v>1371</v>
      </c>
      <c r="C1582" s="309">
        <v>42022</v>
      </c>
      <c r="D1582" s="308" t="s">
        <v>1551</v>
      </c>
      <c r="E1582" s="307">
        <v>1</v>
      </c>
      <c r="F1582" s="311">
        <v>250</v>
      </c>
      <c r="G1582" s="306">
        <f>83+(4)</f>
        <v>87</v>
      </c>
    </row>
    <row r="1583" spans="1:7" x14ac:dyDescent="0.2">
      <c r="A1583" s="310" t="s">
        <v>1360</v>
      </c>
      <c r="B1583" s="310" t="s">
        <v>1371</v>
      </c>
      <c r="C1583" s="309">
        <v>42504</v>
      </c>
      <c r="D1583" s="308" t="s">
        <v>2920</v>
      </c>
      <c r="E1583" s="307">
        <v>1</v>
      </c>
      <c r="F1583" s="311">
        <v>275</v>
      </c>
      <c r="G1583" s="306">
        <f>83+(4)</f>
        <v>87</v>
      </c>
    </row>
    <row r="1584" spans="1:7" x14ac:dyDescent="0.2">
      <c r="A1584" s="310" t="s">
        <v>1359</v>
      </c>
      <c r="B1584" s="310" t="s">
        <v>1363</v>
      </c>
      <c r="C1584" s="309">
        <v>42064</v>
      </c>
      <c r="D1584" s="308" t="s">
        <v>1518</v>
      </c>
      <c r="E1584" s="307">
        <v>1</v>
      </c>
      <c r="F1584" s="311">
        <v>400</v>
      </c>
      <c r="G1584" s="307">
        <v>87</v>
      </c>
    </row>
    <row r="1585" spans="1:7" x14ac:dyDescent="0.2">
      <c r="A1585" s="310" t="s">
        <v>1359</v>
      </c>
      <c r="B1585" s="310" t="s">
        <v>1363</v>
      </c>
      <c r="C1585" s="309">
        <v>42064</v>
      </c>
      <c r="D1585" s="308" t="s">
        <v>1403</v>
      </c>
      <c r="E1585" s="307">
        <v>1</v>
      </c>
      <c r="F1585" s="311">
        <v>400</v>
      </c>
      <c r="G1585" s="307">
        <v>87</v>
      </c>
    </row>
    <row r="1586" spans="1:7" x14ac:dyDescent="0.2">
      <c r="A1586" s="310" t="s">
        <v>1359</v>
      </c>
      <c r="B1586" s="310" t="s">
        <v>1363</v>
      </c>
      <c r="C1586" s="309">
        <v>42064</v>
      </c>
      <c r="D1586" s="308" t="s">
        <v>1498</v>
      </c>
      <c r="E1586" s="307">
        <v>1</v>
      </c>
      <c r="F1586" s="311">
        <v>400</v>
      </c>
      <c r="G1586" s="307">
        <v>87</v>
      </c>
    </row>
    <row r="1587" spans="1:7" x14ac:dyDescent="0.2">
      <c r="A1587" s="310" t="s">
        <v>1359</v>
      </c>
      <c r="B1587" s="310" t="s">
        <v>1363</v>
      </c>
      <c r="C1587" s="309">
        <v>42424</v>
      </c>
      <c r="D1587" s="308" t="s">
        <v>2323</v>
      </c>
      <c r="E1587" s="307">
        <v>1</v>
      </c>
      <c r="F1587" s="311">
        <v>400</v>
      </c>
      <c r="G1587" s="307">
        <v>87</v>
      </c>
    </row>
    <row r="1588" spans="1:7" x14ac:dyDescent="0.2">
      <c r="A1588" s="310" t="s">
        <v>1359</v>
      </c>
      <c r="B1588" s="310" t="s">
        <v>1363</v>
      </c>
      <c r="C1588" s="309">
        <v>42424</v>
      </c>
      <c r="D1588" s="308" t="s">
        <v>2942</v>
      </c>
      <c r="E1588" s="307">
        <v>1</v>
      </c>
      <c r="F1588" s="311">
        <v>400</v>
      </c>
      <c r="G1588" s="307">
        <v>87</v>
      </c>
    </row>
    <row r="1589" spans="1:7" x14ac:dyDescent="0.2">
      <c r="A1589" s="310" t="s">
        <v>1358</v>
      </c>
      <c r="B1589" s="310" t="s">
        <v>1375</v>
      </c>
      <c r="C1589" s="309">
        <v>42544</v>
      </c>
      <c r="D1589" s="308" t="s">
        <v>3046</v>
      </c>
      <c r="E1589" s="307">
        <v>1</v>
      </c>
      <c r="F1589" s="311">
        <v>320</v>
      </c>
      <c r="G1589" s="307">
        <v>87</v>
      </c>
    </row>
    <row r="1590" spans="1:7" x14ac:dyDescent="0.2">
      <c r="A1590" s="310" t="s">
        <v>1319</v>
      </c>
      <c r="B1590" s="310" t="s">
        <v>1373</v>
      </c>
      <c r="C1590" s="309">
        <v>42084</v>
      </c>
      <c r="D1590" s="308" t="s">
        <v>1721</v>
      </c>
      <c r="E1590" s="307">
        <v>1</v>
      </c>
      <c r="F1590" s="311">
        <v>100</v>
      </c>
      <c r="G1590" s="306">
        <f>95-(7)</f>
        <v>88</v>
      </c>
    </row>
    <row r="1591" spans="1:7" x14ac:dyDescent="0.2">
      <c r="A1591" s="310" t="s">
        <v>1319</v>
      </c>
      <c r="B1591" s="310" t="s">
        <v>1371</v>
      </c>
      <c r="C1591" s="309">
        <v>42258</v>
      </c>
      <c r="D1591" s="308" t="s">
        <v>1963</v>
      </c>
      <c r="E1591" s="307">
        <v>1</v>
      </c>
      <c r="F1591" s="311">
        <v>100</v>
      </c>
      <c r="G1591" s="306">
        <f>84+(4)</f>
        <v>88</v>
      </c>
    </row>
    <row r="1592" spans="1:7" x14ac:dyDescent="0.2">
      <c r="A1592" s="310" t="s">
        <v>1319</v>
      </c>
      <c r="B1592" s="310" t="s">
        <v>1371</v>
      </c>
      <c r="C1592" s="309">
        <v>42476</v>
      </c>
      <c r="D1592" s="308" t="s">
        <v>2101</v>
      </c>
      <c r="E1592" s="307">
        <v>1</v>
      </c>
      <c r="F1592" s="311">
        <v>120</v>
      </c>
      <c r="G1592" s="306">
        <f>84+(4)</f>
        <v>88</v>
      </c>
    </row>
    <row r="1593" spans="1:7" x14ac:dyDescent="0.2">
      <c r="A1593" s="310" t="s">
        <v>1313</v>
      </c>
      <c r="B1593" s="310" t="s">
        <v>1361</v>
      </c>
      <c r="C1593" s="309">
        <v>42177</v>
      </c>
      <c r="D1593" s="308" t="s">
        <v>1733</v>
      </c>
      <c r="E1593" s="307">
        <v>1</v>
      </c>
      <c r="F1593" s="311">
        <v>200</v>
      </c>
      <c r="G1593" s="303">
        <f>93-(5)</f>
        <v>88</v>
      </c>
    </row>
    <row r="1594" spans="1:7" x14ac:dyDescent="0.2">
      <c r="A1594" s="310" t="s">
        <v>1313</v>
      </c>
      <c r="B1594" s="310" t="s">
        <v>1361</v>
      </c>
      <c r="C1594" s="309">
        <v>42636</v>
      </c>
      <c r="D1594" s="308" t="s">
        <v>2192</v>
      </c>
      <c r="E1594" s="307">
        <v>1</v>
      </c>
      <c r="F1594" s="311">
        <v>210</v>
      </c>
      <c r="G1594" s="303">
        <f>93-(5)</f>
        <v>88</v>
      </c>
    </row>
    <row r="1595" spans="1:7" x14ac:dyDescent="0.2">
      <c r="A1595" s="310" t="s">
        <v>1374</v>
      </c>
      <c r="B1595" s="310" t="s">
        <v>1369</v>
      </c>
      <c r="C1595" s="309">
        <v>42531</v>
      </c>
      <c r="D1595" s="308" t="s">
        <v>2257</v>
      </c>
      <c r="E1595" s="307">
        <v>1</v>
      </c>
      <c r="F1595" s="311">
        <v>320</v>
      </c>
      <c r="G1595" s="307">
        <v>88</v>
      </c>
    </row>
    <row r="1596" spans="1:7" x14ac:dyDescent="0.2">
      <c r="A1596" s="310" t="s">
        <v>1374</v>
      </c>
      <c r="B1596" s="310" t="s">
        <v>1369</v>
      </c>
      <c r="C1596" s="309">
        <v>42531</v>
      </c>
      <c r="D1596" s="308" t="s">
        <v>2252</v>
      </c>
      <c r="E1596" s="307">
        <v>1</v>
      </c>
      <c r="F1596" s="311">
        <v>320</v>
      </c>
      <c r="G1596" s="307">
        <v>88</v>
      </c>
    </row>
    <row r="1597" spans="1:7" x14ac:dyDescent="0.2">
      <c r="A1597" s="310" t="s">
        <v>1372</v>
      </c>
      <c r="B1597" s="310" t="s">
        <v>1365</v>
      </c>
      <c r="C1597" s="309">
        <v>42488</v>
      </c>
      <c r="D1597" s="308" t="s">
        <v>2264</v>
      </c>
      <c r="E1597" s="307">
        <v>1</v>
      </c>
      <c r="F1597" s="311">
        <v>310</v>
      </c>
      <c r="G1597" s="303">
        <f>100-(12)</f>
        <v>88</v>
      </c>
    </row>
    <row r="1598" spans="1:7" x14ac:dyDescent="0.2">
      <c r="A1598" s="310" t="s">
        <v>1370</v>
      </c>
      <c r="B1598" s="310" t="s">
        <v>1361</v>
      </c>
      <c r="C1598" s="309">
        <v>42036</v>
      </c>
      <c r="D1598" s="308" t="s">
        <v>1912</v>
      </c>
      <c r="E1598" s="307">
        <v>1</v>
      </c>
      <c r="F1598" s="311">
        <v>500</v>
      </c>
      <c r="G1598" s="303">
        <f>93-(5)</f>
        <v>88</v>
      </c>
    </row>
    <row r="1599" spans="1:7" x14ac:dyDescent="0.2">
      <c r="A1599" s="310" t="s">
        <v>1370</v>
      </c>
      <c r="B1599" s="310" t="s">
        <v>1361</v>
      </c>
      <c r="C1599" s="309">
        <v>42139</v>
      </c>
      <c r="D1599" s="308" t="s">
        <v>1432</v>
      </c>
      <c r="E1599" s="307">
        <v>1</v>
      </c>
      <c r="F1599" s="311">
        <v>500</v>
      </c>
      <c r="G1599" s="303">
        <f>93-(5)</f>
        <v>88</v>
      </c>
    </row>
    <row r="1600" spans="1:7" x14ac:dyDescent="0.2">
      <c r="A1600" s="310" t="s">
        <v>1370</v>
      </c>
      <c r="B1600" s="310" t="s">
        <v>1373</v>
      </c>
      <c r="C1600" s="309">
        <v>42658</v>
      </c>
      <c r="D1600" s="308" t="s">
        <v>2343</v>
      </c>
      <c r="E1600" s="307">
        <v>1</v>
      </c>
      <c r="F1600" s="311">
        <v>500</v>
      </c>
      <c r="G1600" s="306">
        <f>95-(7)</f>
        <v>88</v>
      </c>
    </row>
    <row r="1601" spans="1:7" x14ac:dyDescent="0.2">
      <c r="A1601" s="310" t="s">
        <v>1368</v>
      </c>
      <c r="B1601" s="310" t="s">
        <v>1367</v>
      </c>
      <c r="C1601" s="309">
        <v>42068</v>
      </c>
      <c r="D1601" s="308" t="s">
        <v>1660</v>
      </c>
      <c r="E1601" s="307">
        <v>1</v>
      </c>
      <c r="F1601" s="311">
        <v>200</v>
      </c>
      <c r="G1601" s="306">
        <v>88</v>
      </c>
    </row>
    <row r="1602" spans="1:7" x14ac:dyDescent="0.2">
      <c r="A1602" s="310" t="s">
        <v>1368</v>
      </c>
      <c r="B1602" s="310" t="s">
        <v>1367</v>
      </c>
      <c r="C1602" s="309">
        <v>42170</v>
      </c>
      <c r="D1602" s="308" t="s">
        <v>1792</v>
      </c>
      <c r="E1602" s="307">
        <v>1</v>
      </c>
      <c r="F1602" s="311">
        <v>200</v>
      </c>
      <c r="G1602" s="306">
        <v>88</v>
      </c>
    </row>
    <row r="1603" spans="1:7" x14ac:dyDescent="0.2">
      <c r="A1603" s="310" t="s">
        <v>1368</v>
      </c>
      <c r="B1603" s="310" t="s">
        <v>1367</v>
      </c>
      <c r="C1603" s="309">
        <v>42170</v>
      </c>
      <c r="D1603" s="308" t="s">
        <v>1780</v>
      </c>
      <c r="E1603" s="307">
        <v>1</v>
      </c>
      <c r="F1603" s="311">
        <v>200</v>
      </c>
      <c r="G1603" s="306">
        <v>88</v>
      </c>
    </row>
    <row r="1604" spans="1:7" x14ac:dyDescent="0.2">
      <c r="A1604" s="310" t="s">
        <v>1368</v>
      </c>
      <c r="B1604" s="310" t="s">
        <v>1371</v>
      </c>
      <c r="C1604" s="309">
        <v>42323</v>
      </c>
      <c r="D1604" s="308" t="s">
        <v>1402</v>
      </c>
      <c r="E1604" s="307">
        <v>1</v>
      </c>
      <c r="F1604" s="311">
        <v>200</v>
      </c>
      <c r="G1604" s="306">
        <f>84+(4)</f>
        <v>88</v>
      </c>
    </row>
    <row r="1605" spans="1:7" x14ac:dyDescent="0.2">
      <c r="A1605" s="310" t="s">
        <v>1368</v>
      </c>
      <c r="B1605" s="310" t="s">
        <v>1371</v>
      </c>
      <c r="C1605" s="309">
        <v>42412</v>
      </c>
      <c r="D1605" s="308" t="s">
        <v>2416</v>
      </c>
      <c r="E1605" s="307">
        <v>1</v>
      </c>
      <c r="F1605" s="311">
        <v>200</v>
      </c>
      <c r="G1605" s="306">
        <f>84+(4)</f>
        <v>88</v>
      </c>
    </row>
    <row r="1606" spans="1:7" x14ac:dyDescent="0.2">
      <c r="A1606" s="310" t="s">
        <v>1368</v>
      </c>
      <c r="B1606" s="310" t="s">
        <v>1367</v>
      </c>
      <c r="C1606" s="309">
        <v>42563</v>
      </c>
      <c r="D1606" s="308" t="s">
        <v>2589</v>
      </c>
      <c r="E1606" s="307">
        <v>1</v>
      </c>
      <c r="F1606" s="311">
        <v>200</v>
      </c>
      <c r="G1606" s="306">
        <v>88</v>
      </c>
    </row>
    <row r="1607" spans="1:7" x14ac:dyDescent="0.2">
      <c r="A1607" s="310" t="s">
        <v>1366</v>
      </c>
      <c r="B1607" s="310" t="s">
        <v>1376</v>
      </c>
      <c r="C1607" s="309">
        <v>42259</v>
      </c>
      <c r="D1607" s="308" t="s">
        <v>1573</v>
      </c>
      <c r="E1607" s="307">
        <v>1</v>
      </c>
      <c r="F1607" s="311">
        <v>350</v>
      </c>
      <c r="G1607" s="306">
        <v>88</v>
      </c>
    </row>
    <row r="1608" spans="1:7" x14ac:dyDescent="0.2">
      <c r="A1608" s="310" t="s">
        <v>1366</v>
      </c>
      <c r="B1608" s="310" t="s">
        <v>1376</v>
      </c>
      <c r="C1608" s="309">
        <v>42259</v>
      </c>
      <c r="D1608" s="308" t="s">
        <v>1733</v>
      </c>
      <c r="E1608" s="307">
        <v>1</v>
      </c>
      <c r="F1608" s="311">
        <v>350</v>
      </c>
      <c r="G1608" s="306">
        <v>88</v>
      </c>
    </row>
    <row r="1609" spans="1:7" x14ac:dyDescent="0.2">
      <c r="A1609" s="310" t="s">
        <v>1366</v>
      </c>
      <c r="B1609" s="310" t="s">
        <v>1376</v>
      </c>
      <c r="C1609" s="309">
        <v>42259</v>
      </c>
      <c r="D1609" s="308" t="s">
        <v>1729</v>
      </c>
      <c r="E1609" s="307">
        <v>1</v>
      </c>
      <c r="F1609" s="311">
        <v>350</v>
      </c>
      <c r="G1609" s="306">
        <v>88</v>
      </c>
    </row>
    <row r="1610" spans="1:7" x14ac:dyDescent="0.2">
      <c r="A1610" s="310" t="s">
        <v>1366</v>
      </c>
      <c r="B1610" s="310" t="s">
        <v>1376</v>
      </c>
      <c r="C1610" s="309">
        <v>42562</v>
      </c>
      <c r="D1610" s="308" t="s">
        <v>2659</v>
      </c>
      <c r="E1610" s="307">
        <v>1</v>
      </c>
      <c r="F1610" s="311">
        <v>380</v>
      </c>
      <c r="G1610" s="306">
        <v>88</v>
      </c>
    </row>
    <row r="1611" spans="1:7" x14ac:dyDescent="0.2">
      <c r="A1611" s="310" t="s">
        <v>1366</v>
      </c>
      <c r="B1611" s="310" t="s">
        <v>1376</v>
      </c>
      <c r="C1611" s="309">
        <v>42562</v>
      </c>
      <c r="D1611" s="308" t="s">
        <v>2233</v>
      </c>
      <c r="E1611" s="307">
        <v>1</v>
      </c>
      <c r="F1611" s="311">
        <v>380</v>
      </c>
      <c r="G1611" s="306">
        <v>88</v>
      </c>
    </row>
    <row r="1612" spans="1:7" x14ac:dyDescent="0.2">
      <c r="A1612" s="310" t="s">
        <v>1366</v>
      </c>
      <c r="B1612" s="310" t="s">
        <v>1376</v>
      </c>
      <c r="C1612" s="309">
        <v>42562</v>
      </c>
      <c r="D1612" s="308" t="s">
        <v>2576</v>
      </c>
      <c r="E1612" s="307">
        <v>1</v>
      </c>
      <c r="F1612" s="311">
        <v>380</v>
      </c>
      <c r="G1612" s="306">
        <v>88</v>
      </c>
    </row>
    <row r="1613" spans="1:7" x14ac:dyDescent="0.2">
      <c r="A1613" s="310" t="s">
        <v>1364</v>
      </c>
      <c r="B1613" s="310" t="s">
        <v>1367</v>
      </c>
      <c r="C1613" s="309">
        <v>42091</v>
      </c>
      <c r="D1613" s="308" t="s">
        <v>1528</v>
      </c>
      <c r="E1613" s="307">
        <v>1</v>
      </c>
      <c r="F1613" s="311">
        <v>600</v>
      </c>
      <c r="G1613" s="306">
        <v>88</v>
      </c>
    </row>
    <row r="1614" spans="1:7" x14ac:dyDescent="0.2">
      <c r="A1614" s="310" t="s">
        <v>1364</v>
      </c>
      <c r="B1614" s="310" t="s">
        <v>1371</v>
      </c>
      <c r="C1614" s="309">
        <v>42265</v>
      </c>
      <c r="D1614" s="308" t="s">
        <v>1697</v>
      </c>
      <c r="E1614" s="307">
        <v>1</v>
      </c>
      <c r="F1614" s="311">
        <v>600</v>
      </c>
      <c r="G1614" s="306">
        <f>84+(4)</f>
        <v>88</v>
      </c>
    </row>
    <row r="1615" spans="1:7" x14ac:dyDescent="0.2">
      <c r="A1615" s="310" t="s">
        <v>1364</v>
      </c>
      <c r="B1615" s="310" t="s">
        <v>1367</v>
      </c>
      <c r="C1615" s="309">
        <v>42638</v>
      </c>
      <c r="D1615" s="308" t="s">
        <v>2787</v>
      </c>
      <c r="E1615" s="307">
        <v>1</v>
      </c>
      <c r="F1615" s="311">
        <v>650</v>
      </c>
      <c r="G1615" s="306">
        <v>88</v>
      </c>
    </row>
    <row r="1616" spans="1:7" x14ac:dyDescent="0.2">
      <c r="A1616" s="310" t="s">
        <v>1362</v>
      </c>
      <c r="B1616" s="310" t="s">
        <v>1365</v>
      </c>
      <c r="C1616" s="309">
        <v>42058</v>
      </c>
      <c r="D1616" s="308" t="s">
        <v>1434</v>
      </c>
      <c r="E1616" s="307">
        <v>1</v>
      </c>
      <c r="F1616" s="311">
        <v>400</v>
      </c>
      <c r="G1616" s="303">
        <f>100-(12)</f>
        <v>88</v>
      </c>
    </row>
    <row r="1617" spans="1:7" x14ac:dyDescent="0.2">
      <c r="A1617" s="310" t="s">
        <v>1362</v>
      </c>
      <c r="B1617" s="310" t="s">
        <v>1365</v>
      </c>
      <c r="C1617" s="309">
        <v>42058</v>
      </c>
      <c r="D1617" s="308" t="s">
        <v>1633</v>
      </c>
      <c r="E1617" s="307">
        <v>1</v>
      </c>
      <c r="F1617" s="311">
        <v>400</v>
      </c>
      <c r="G1617" s="303">
        <f>100-(12)</f>
        <v>88</v>
      </c>
    </row>
    <row r="1618" spans="1:7" x14ac:dyDescent="0.2">
      <c r="A1618" s="310" t="s">
        <v>1362</v>
      </c>
      <c r="B1618" s="310" t="s">
        <v>1365</v>
      </c>
      <c r="C1618" s="309">
        <v>42127</v>
      </c>
      <c r="D1618" s="308" t="s">
        <v>1487</v>
      </c>
      <c r="E1618" s="307">
        <v>1</v>
      </c>
      <c r="F1618" s="311">
        <v>400</v>
      </c>
      <c r="G1618" s="303">
        <f>100-(12)</f>
        <v>88</v>
      </c>
    </row>
    <row r="1619" spans="1:7" x14ac:dyDescent="0.2">
      <c r="A1619" s="310" t="s">
        <v>1362</v>
      </c>
      <c r="B1619" s="310" t="s">
        <v>1365</v>
      </c>
      <c r="C1619" s="309">
        <v>42592</v>
      </c>
      <c r="D1619" s="308" t="s">
        <v>2817</v>
      </c>
      <c r="E1619" s="307">
        <v>1</v>
      </c>
      <c r="F1619" s="311">
        <v>400</v>
      </c>
      <c r="G1619" s="303">
        <f>100-(12)</f>
        <v>88</v>
      </c>
    </row>
    <row r="1620" spans="1:7" x14ac:dyDescent="0.2">
      <c r="A1620" s="310" t="s">
        <v>1360</v>
      </c>
      <c r="B1620" s="310" t="s">
        <v>1371</v>
      </c>
      <c r="C1620" s="309">
        <v>42022</v>
      </c>
      <c r="D1620" s="308" t="s">
        <v>1548</v>
      </c>
      <c r="E1620" s="307">
        <v>1</v>
      </c>
      <c r="F1620" s="311">
        <v>250</v>
      </c>
      <c r="G1620" s="306">
        <f>84+(4)</f>
        <v>88</v>
      </c>
    </row>
    <row r="1621" spans="1:7" x14ac:dyDescent="0.2">
      <c r="A1621" s="310" t="s">
        <v>1358</v>
      </c>
      <c r="B1621" s="310" t="s">
        <v>1375</v>
      </c>
      <c r="C1621" s="309">
        <v>42037</v>
      </c>
      <c r="D1621" s="308" t="s">
        <v>1448</v>
      </c>
      <c r="E1621" s="307">
        <v>1</v>
      </c>
      <c r="F1621" s="311">
        <v>300</v>
      </c>
      <c r="G1621" s="307">
        <v>88</v>
      </c>
    </row>
    <row r="1622" spans="1:7" x14ac:dyDescent="0.2">
      <c r="A1622" s="310" t="s">
        <v>1358</v>
      </c>
      <c r="B1622" s="310" t="s">
        <v>1375</v>
      </c>
      <c r="C1622" s="309">
        <v>42460</v>
      </c>
      <c r="D1622" s="308" t="s">
        <v>3029</v>
      </c>
      <c r="E1622" s="307">
        <v>1</v>
      </c>
      <c r="F1622" s="311">
        <v>320</v>
      </c>
      <c r="G1622" s="307">
        <v>88</v>
      </c>
    </row>
    <row r="1623" spans="1:7" x14ac:dyDescent="0.2">
      <c r="A1623" s="310" t="s">
        <v>1358</v>
      </c>
      <c r="B1623" s="310" t="s">
        <v>1375</v>
      </c>
      <c r="C1623" s="309">
        <v>42544</v>
      </c>
      <c r="D1623" s="308" t="s">
        <v>3045</v>
      </c>
      <c r="E1623" s="307">
        <v>1</v>
      </c>
      <c r="F1623" s="311">
        <v>320</v>
      </c>
      <c r="G1623" s="307">
        <v>88</v>
      </c>
    </row>
    <row r="1624" spans="1:7" x14ac:dyDescent="0.2">
      <c r="A1624" s="310" t="s">
        <v>1319</v>
      </c>
      <c r="B1624" s="310" t="s">
        <v>1361</v>
      </c>
      <c r="C1624" s="309">
        <v>42019</v>
      </c>
      <c r="D1624" s="308" t="s">
        <v>1789</v>
      </c>
      <c r="E1624" s="307">
        <v>1</v>
      </c>
      <c r="F1624" s="311">
        <v>100</v>
      </c>
      <c r="G1624" s="303">
        <f>94-(5)</f>
        <v>89</v>
      </c>
    </row>
    <row r="1625" spans="1:7" x14ac:dyDescent="0.2">
      <c r="A1625" s="310" t="s">
        <v>1319</v>
      </c>
      <c r="B1625" s="310" t="s">
        <v>1361</v>
      </c>
      <c r="C1625" s="309">
        <v>42019</v>
      </c>
      <c r="D1625" s="308" t="s">
        <v>1812</v>
      </c>
      <c r="E1625" s="307">
        <v>1</v>
      </c>
      <c r="F1625" s="311">
        <v>100</v>
      </c>
      <c r="G1625" s="303">
        <f>94-(5)</f>
        <v>89</v>
      </c>
    </row>
    <row r="1626" spans="1:7" x14ac:dyDescent="0.2">
      <c r="A1626" s="310" t="s">
        <v>1319</v>
      </c>
      <c r="B1626" s="310" t="s">
        <v>1371</v>
      </c>
      <c r="C1626" s="309">
        <v>42258</v>
      </c>
      <c r="D1626" s="308" t="s">
        <v>1828</v>
      </c>
      <c r="E1626" s="307">
        <v>1</v>
      </c>
      <c r="F1626" s="311">
        <v>100</v>
      </c>
      <c r="G1626" s="306">
        <f>85+(4)</f>
        <v>89</v>
      </c>
    </row>
    <row r="1627" spans="1:7" x14ac:dyDescent="0.2">
      <c r="A1627" s="310" t="s">
        <v>1319</v>
      </c>
      <c r="B1627" s="310" t="s">
        <v>1367</v>
      </c>
      <c r="C1627" s="309">
        <v>42332</v>
      </c>
      <c r="D1627" s="308" t="s">
        <v>1628</v>
      </c>
      <c r="E1627" s="307">
        <v>1</v>
      </c>
      <c r="F1627" s="311">
        <v>100</v>
      </c>
      <c r="G1627" s="306">
        <v>89</v>
      </c>
    </row>
    <row r="1628" spans="1:7" x14ac:dyDescent="0.2">
      <c r="A1628" s="310" t="s">
        <v>1319</v>
      </c>
      <c r="B1628" s="310" t="s">
        <v>1371</v>
      </c>
      <c r="C1628" s="309">
        <v>42476</v>
      </c>
      <c r="D1628" s="308" t="s">
        <v>2103</v>
      </c>
      <c r="E1628" s="307">
        <v>1</v>
      </c>
      <c r="F1628" s="311">
        <v>120</v>
      </c>
      <c r="G1628" s="306">
        <f>85+(4)</f>
        <v>89</v>
      </c>
    </row>
    <row r="1629" spans="1:7" x14ac:dyDescent="0.2">
      <c r="A1629" s="310" t="s">
        <v>1319</v>
      </c>
      <c r="B1629" s="310" t="s">
        <v>1371</v>
      </c>
      <c r="C1629" s="309">
        <v>42476</v>
      </c>
      <c r="D1629" s="308" t="s">
        <v>2127</v>
      </c>
      <c r="E1629" s="307">
        <v>1</v>
      </c>
      <c r="F1629" s="311">
        <v>120</v>
      </c>
      <c r="G1629" s="306">
        <f>85+(4)</f>
        <v>89</v>
      </c>
    </row>
    <row r="1630" spans="1:7" x14ac:dyDescent="0.2">
      <c r="A1630" s="310" t="s">
        <v>1319</v>
      </c>
      <c r="B1630" s="310" t="s">
        <v>1371</v>
      </c>
      <c r="C1630" s="309">
        <v>42476</v>
      </c>
      <c r="D1630" s="308" t="s">
        <v>2123</v>
      </c>
      <c r="E1630" s="307">
        <v>1</v>
      </c>
      <c r="F1630" s="311">
        <v>120</v>
      </c>
      <c r="G1630" s="306">
        <f>85+(4)</f>
        <v>89</v>
      </c>
    </row>
    <row r="1631" spans="1:7" x14ac:dyDescent="0.2">
      <c r="A1631" s="310" t="s">
        <v>1319</v>
      </c>
      <c r="B1631" s="310" t="s">
        <v>1367</v>
      </c>
      <c r="C1631" s="309">
        <v>42666</v>
      </c>
      <c r="D1631" s="308" t="s">
        <v>2149</v>
      </c>
      <c r="E1631" s="307">
        <v>1</v>
      </c>
      <c r="F1631" s="311">
        <v>120</v>
      </c>
      <c r="G1631" s="306">
        <v>89</v>
      </c>
    </row>
    <row r="1632" spans="1:7" x14ac:dyDescent="0.2">
      <c r="A1632" s="310" t="s">
        <v>1313</v>
      </c>
      <c r="B1632" s="310" t="s">
        <v>1373</v>
      </c>
      <c r="C1632" s="309">
        <v>42105</v>
      </c>
      <c r="D1632" s="308" t="s">
        <v>1480</v>
      </c>
      <c r="E1632" s="307">
        <v>1</v>
      </c>
      <c r="F1632" s="311">
        <v>200</v>
      </c>
      <c r="G1632" s="306">
        <f>96-(7)</f>
        <v>89</v>
      </c>
    </row>
    <row r="1633" spans="1:7" x14ac:dyDescent="0.2">
      <c r="A1633" s="310" t="s">
        <v>1313</v>
      </c>
      <c r="B1633" s="310" t="s">
        <v>1361</v>
      </c>
      <c r="C1633" s="309">
        <v>42177</v>
      </c>
      <c r="D1633" s="308" t="s">
        <v>1977</v>
      </c>
      <c r="E1633" s="307">
        <v>1</v>
      </c>
      <c r="F1633" s="311">
        <v>200</v>
      </c>
      <c r="G1633" s="303">
        <f>94-(5)</f>
        <v>89</v>
      </c>
    </row>
    <row r="1634" spans="1:7" x14ac:dyDescent="0.2">
      <c r="A1634" s="310" t="s">
        <v>1313</v>
      </c>
      <c r="B1634" s="310" t="s">
        <v>1361</v>
      </c>
      <c r="C1634" s="309">
        <v>42177</v>
      </c>
      <c r="D1634" s="308" t="s">
        <v>1416</v>
      </c>
      <c r="E1634" s="307">
        <v>1</v>
      </c>
      <c r="F1634" s="311">
        <v>200</v>
      </c>
      <c r="G1634" s="303">
        <f>94-(5)</f>
        <v>89</v>
      </c>
    </row>
    <row r="1635" spans="1:7" x14ac:dyDescent="0.2">
      <c r="A1635" s="310" t="s">
        <v>1313</v>
      </c>
      <c r="B1635" s="310" t="s">
        <v>1361</v>
      </c>
      <c r="C1635" s="309">
        <v>42636</v>
      </c>
      <c r="D1635" s="308" t="s">
        <v>2190</v>
      </c>
      <c r="E1635" s="307">
        <v>1</v>
      </c>
      <c r="F1635" s="311">
        <v>210</v>
      </c>
      <c r="G1635" s="303">
        <f>94-(5)</f>
        <v>89</v>
      </c>
    </row>
    <row r="1636" spans="1:7" x14ac:dyDescent="0.2">
      <c r="A1636" s="310" t="s">
        <v>1372</v>
      </c>
      <c r="B1636" s="310" t="s">
        <v>1363</v>
      </c>
      <c r="C1636" s="309">
        <v>42685</v>
      </c>
      <c r="D1636" s="308" t="s">
        <v>2296</v>
      </c>
      <c r="E1636" s="307">
        <v>1</v>
      </c>
      <c r="F1636" s="311">
        <v>310</v>
      </c>
      <c r="G1636" s="307">
        <v>89</v>
      </c>
    </row>
    <row r="1637" spans="1:7" x14ac:dyDescent="0.2">
      <c r="A1637" s="310" t="s">
        <v>1370</v>
      </c>
      <c r="B1637" s="310" t="s">
        <v>1373</v>
      </c>
      <c r="C1637" s="309">
        <v>42288</v>
      </c>
      <c r="D1637" s="308" t="s">
        <v>1668</v>
      </c>
      <c r="E1637" s="307">
        <v>1</v>
      </c>
      <c r="F1637" s="311">
        <v>500</v>
      </c>
      <c r="G1637" s="306">
        <f>96-(7)</f>
        <v>89</v>
      </c>
    </row>
    <row r="1638" spans="1:7" x14ac:dyDescent="0.2">
      <c r="A1638" s="310" t="s">
        <v>1370</v>
      </c>
      <c r="B1638" s="310" t="s">
        <v>1361</v>
      </c>
      <c r="C1638" s="309">
        <v>42447</v>
      </c>
      <c r="D1638" s="308" t="s">
        <v>2394</v>
      </c>
      <c r="E1638" s="307">
        <v>1</v>
      </c>
      <c r="F1638" s="311">
        <v>500</v>
      </c>
      <c r="G1638" s="303">
        <f>94-(5)</f>
        <v>89</v>
      </c>
    </row>
    <row r="1639" spans="1:7" x14ac:dyDescent="0.2">
      <c r="A1639" s="310" t="s">
        <v>1370</v>
      </c>
      <c r="B1639" s="310" t="s">
        <v>1361</v>
      </c>
      <c r="C1639" s="309">
        <v>42447</v>
      </c>
      <c r="D1639" s="308" t="s">
        <v>2387</v>
      </c>
      <c r="E1639" s="307">
        <v>1</v>
      </c>
      <c r="F1639" s="311">
        <v>500</v>
      </c>
      <c r="G1639" s="303">
        <f>94-(5)</f>
        <v>89</v>
      </c>
    </row>
    <row r="1640" spans="1:7" x14ac:dyDescent="0.2">
      <c r="A1640" s="310" t="s">
        <v>1370</v>
      </c>
      <c r="B1640" s="310" t="s">
        <v>1373</v>
      </c>
      <c r="C1640" s="309">
        <v>42658</v>
      </c>
      <c r="D1640" s="308" t="s">
        <v>2331</v>
      </c>
      <c r="E1640" s="307">
        <v>1</v>
      </c>
      <c r="F1640" s="311">
        <v>500</v>
      </c>
      <c r="G1640" s="306">
        <f>96-(7)</f>
        <v>89</v>
      </c>
    </row>
    <row r="1641" spans="1:7" x14ac:dyDescent="0.2">
      <c r="A1641" s="310" t="s">
        <v>1370</v>
      </c>
      <c r="B1641" s="310" t="s">
        <v>1373</v>
      </c>
      <c r="C1641" s="309">
        <v>42658</v>
      </c>
      <c r="D1641" s="308" t="s">
        <v>2329</v>
      </c>
      <c r="E1641" s="307">
        <v>1</v>
      </c>
      <c r="F1641" s="311">
        <v>500</v>
      </c>
      <c r="G1641" s="306">
        <f>96-(7)</f>
        <v>89</v>
      </c>
    </row>
    <row r="1642" spans="1:7" x14ac:dyDescent="0.2">
      <c r="A1642" s="310" t="s">
        <v>1370</v>
      </c>
      <c r="B1642" s="310" t="s">
        <v>1373</v>
      </c>
      <c r="C1642" s="309">
        <v>42658</v>
      </c>
      <c r="D1642" s="308" t="s">
        <v>2338</v>
      </c>
      <c r="E1642" s="307">
        <v>1</v>
      </c>
      <c r="F1642" s="311">
        <v>500</v>
      </c>
      <c r="G1642" s="306">
        <f>96-(7)</f>
        <v>89</v>
      </c>
    </row>
    <row r="1643" spans="1:7" x14ac:dyDescent="0.2">
      <c r="A1643" s="310" t="s">
        <v>1368</v>
      </c>
      <c r="B1643" s="310" t="s">
        <v>1367</v>
      </c>
      <c r="C1643" s="309">
        <v>42068</v>
      </c>
      <c r="D1643" s="308" t="s">
        <v>1478</v>
      </c>
      <c r="E1643" s="307">
        <v>1</v>
      </c>
      <c r="F1643" s="311">
        <v>200</v>
      </c>
      <c r="G1643" s="306">
        <v>89</v>
      </c>
    </row>
    <row r="1644" spans="1:7" x14ac:dyDescent="0.2">
      <c r="A1644" s="310" t="s">
        <v>1368</v>
      </c>
      <c r="B1644" s="310" t="s">
        <v>1367</v>
      </c>
      <c r="C1644" s="309">
        <v>42170</v>
      </c>
      <c r="D1644" s="308" t="s">
        <v>1716</v>
      </c>
      <c r="E1644" s="307">
        <v>1</v>
      </c>
      <c r="F1644" s="311">
        <v>200</v>
      </c>
      <c r="G1644" s="306">
        <v>89</v>
      </c>
    </row>
    <row r="1645" spans="1:7" x14ac:dyDescent="0.2">
      <c r="A1645" s="310" t="s">
        <v>1368</v>
      </c>
      <c r="B1645" s="310" t="s">
        <v>1367</v>
      </c>
      <c r="C1645" s="309">
        <v>42170</v>
      </c>
      <c r="D1645" s="308" t="s">
        <v>1399</v>
      </c>
      <c r="E1645" s="307">
        <v>1</v>
      </c>
      <c r="F1645" s="311">
        <v>200</v>
      </c>
      <c r="G1645" s="306">
        <v>89</v>
      </c>
    </row>
    <row r="1646" spans="1:7" x14ac:dyDescent="0.2">
      <c r="A1646" s="310" t="s">
        <v>1368</v>
      </c>
      <c r="B1646" s="310" t="s">
        <v>1367</v>
      </c>
      <c r="C1646" s="309">
        <v>42282</v>
      </c>
      <c r="D1646" s="308" t="s">
        <v>1515</v>
      </c>
      <c r="E1646" s="307">
        <v>1</v>
      </c>
      <c r="F1646" s="311">
        <v>200</v>
      </c>
      <c r="G1646" s="306">
        <v>89</v>
      </c>
    </row>
    <row r="1647" spans="1:7" x14ac:dyDescent="0.2">
      <c r="A1647" s="310" t="s">
        <v>1368</v>
      </c>
      <c r="B1647" s="310" t="s">
        <v>1371</v>
      </c>
      <c r="C1647" s="309">
        <v>42323</v>
      </c>
      <c r="D1647" s="308" t="s">
        <v>1703</v>
      </c>
      <c r="E1647" s="307">
        <v>1</v>
      </c>
      <c r="F1647" s="311">
        <v>200</v>
      </c>
      <c r="G1647" s="306">
        <f>85+(4)</f>
        <v>89</v>
      </c>
    </row>
    <row r="1648" spans="1:7" x14ac:dyDescent="0.2">
      <c r="A1648" s="310" t="s">
        <v>1368</v>
      </c>
      <c r="B1648" s="310" t="s">
        <v>1371</v>
      </c>
      <c r="C1648" s="309">
        <v>42323</v>
      </c>
      <c r="D1648" s="308" t="s">
        <v>1880</v>
      </c>
      <c r="E1648" s="307">
        <v>1</v>
      </c>
      <c r="F1648" s="311">
        <v>200</v>
      </c>
      <c r="G1648" s="306">
        <f>85+(4)</f>
        <v>89</v>
      </c>
    </row>
    <row r="1649" spans="1:7" x14ac:dyDescent="0.2">
      <c r="A1649" s="310" t="s">
        <v>1368</v>
      </c>
      <c r="B1649" s="310" t="s">
        <v>1371</v>
      </c>
      <c r="C1649" s="309">
        <v>42340</v>
      </c>
      <c r="D1649" s="308" t="s">
        <v>1501</v>
      </c>
      <c r="E1649" s="307">
        <v>1</v>
      </c>
      <c r="F1649" s="311">
        <v>200</v>
      </c>
      <c r="G1649" s="306">
        <f>85+(4)</f>
        <v>89</v>
      </c>
    </row>
    <row r="1650" spans="1:7" x14ac:dyDescent="0.2">
      <c r="A1650" s="310" t="s">
        <v>1368</v>
      </c>
      <c r="B1650" s="310" t="s">
        <v>1367</v>
      </c>
      <c r="C1650" s="309">
        <v>42505</v>
      </c>
      <c r="D1650" s="308" t="s">
        <v>2544</v>
      </c>
      <c r="E1650" s="307">
        <v>1</v>
      </c>
      <c r="F1650" s="311">
        <v>200</v>
      </c>
      <c r="G1650" s="306">
        <v>89</v>
      </c>
    </row>
    <row r="1651" spans="1:7" x14ac:dyDescent="0.2">
      <c r="A1651" s="310" t="s">
        <v>1366</v>
      </c>
      <c r="B1651" s="310" t="s">
        <v>1376</v>
      </c>
      <c r="C1651" s="309">
        <v>42259</v>
      </c>
      <c r="D1651" s="308" t="s">
        <v>1543</v>
      </c>
      <c r="E1651" s="307">
        <v>1</v>
      </c>
      <c r="F1651" s="311">
        <v>350</v>
      </c>
      <c r="G1651" s="306">
        <v>89</v>
      </c>
    </row>
    <row r="1652" spans="1:7" x14ac:dyDescent="0.2">
      <c r="A1652" s="310" t="s">
        <v>1366</v>
      </c>
      <c r="B1652" s="310" t="s">
        <v>1376</v>
      </c>
      <c r="C1652" s="309">
        <v>42562</v>
      </c>
      <c r="D1652" s="308" t="s">
        <v>2651</v>
      </c>
      <c r="E1652" s="307">
        <v>1</v>
      </c>
      <c r="F1652" s="311">
        <v>380</v>
      </c>
      <c r="G1652" s="306">
        <v>89</v>
      </c>
    </row>
    <row r="1653" spans="1:7" x14ac:dyDescent="0.2">
      <c r="A1653" s="310" t="s">
        <v>1366</v>
      </c>
      <c r="B1653" s="310" t="s">
        <v>1376</v>
      </c>
      <c r="C1653" s="309">
        <v>42562</v>
      </c>
      <c r="D1653" s="308" t="s">
        <v>2669</v>
      </c>
      <c r="E1653" s="307">
        <v>1</v>
      </c>
      <c r="F1653" s="311">
        <v>380</v>
      </c>
      <c r="G1653" s="306">
        <v>89</v>
      </c>
    </row>
    <row r="1654" spans="1:7" x14ac:dyDescent="0.2">
      <c r="A1654" s="310" t="s">
        <v>1366</v>
      </c>
      <c r="B1654" s="310" t="s">
        <v>1376</v>
      </c>
      <c r="C1654" s="309">
        <v>42562</v>
      </c>
      <c r="D1654" s="308" t="s">
        <v>2680</v>
      </c>
      <c r="E1654" s="307">
        <v>1</v>
      </c>
      <c r="F1654" s="311">
        <v>380</v>
      </c>
      <c r="G1654" s="306">
        <v>89</v>
      </c>
    </row>
    <row r="1655" spans="1:7" x14ac:dyDescent="0.2">
      <c r="A1655" s="310" t="s">
        <v>1364</v>
      </c>
      <c r="B1655" s="310" t="s">
        <v>1367</v>
      </c>
      <c r="C1655" s="309">
        <v>42091</v>
      </c>
      <c r="D1655" s="308" t="s">
        <v>1681</v>
      </c>
      <c r="E1655" s="307">
        <v>1</v>
      </c>
      <c r="F1655" s="311">
        <v>600</v>
      </c>
      <c r="G1655" s="306">
        <v>89</v>
      </c>
    </row>
    <row r="1656" spans="1:7" x14ac:dyDescent="0.2">
      <c r="A1656" s="310" t="s">
        <v>1364</v>
      </c>
      <c r="B1656" s="310" t="s">
        <v>1367</v>
      </c>
      <c r="C1656" s="309">
        <v>42091</v>
      </c>
      <c r="D1656" s="308" t="s">
        <v>1409</v>
      </c>
      <c r="E1656" s="307">
        <v>1</v>
      </c>
      <c r="F1656" s="311">
        <v>600</v>
      </c>
      <c r="G1656" s="306">
        <v>89</v>
      </c>
    </row>
    <row r="1657" spans="1:7" x14ac:dyDescent="0.2">
      <c r="A1657" s="310" t="s">
        <v>1364</v>
      </c>
      <c r="B1657" s="310" t="s">
        <v>1371</v>
      </c>
      <c r="C1657" s="309">
        <v>42157</v>
      </c>
      <c r="D1657" s="308" t="s">
        <v>1461</v>
      </c>
      <c r="E1657" s="307">
        <v>1</v>
      </c>
      <c r="F1657" s="311">
        <v>600</v>
      </c>
      <c r="G1657" s="306">
        <f>85+(4)</f>
        <v>89</v>
      </c>
    </row>
    <row r="1658" spans="1:7" x14ac:dyDescent="0.2">
      <c r="A1658" s="310" t="s">
        <v>1364</v>
      </c>
      <c r="B1658" s="310" t="s">
        <v>1371</v>
      </c>
      <c r="C1658" s="309">
        <v>42430</v>
      </c>
      <c r="D1658" s="308" t="s">
        <v>2723</v>
      </c>
      <c r="E1658" s="307">
        <v>1</v>
      </c>
      <c r="F1658" s="311">
        <v>650</v>
      </c>
      <c r="G1658" s="306">
        <f>85+(4)</f>
        <v>89</v>
      </c>
    </row>
    <row r="1659" spans="1:7" x14ac:dyDescent="0.2">
      <c r="A1659" s="310" t="s">
        <v>1359</v>
      </c>
      <c r="B1659" s="310" t="s">
        <v>1363</v>
      </c>
      <c r="C1659" s="309">
        <v>42125</v>
      </c>
      <c r="D1659" s="308" t="s">
        <v>1488</v>
      </c>
      <c r="E1659" s="307">
        <v>1</v>
      </c>
      <c r="F1659" s="311">
        <v>400</v>
      </c>
      <c r="G1659" s="307">
        <v>89</v>
      </c>
    </row>
    <row r="1660" spans="1:7" x14ac:dyDescent="0.2">
      <c r="A1660" s="310" t="s">
        <v>1359</v>
      </c>
      <c r="B1660" s="310" t="s">
        <v>1363</v>
      </c>
      <c r="C1660" s="309">
        <v>42125</v>
      </c>
      <c r="D1660" s="308" t="s">
        <v>1478</v>
      </c>
      <c r="E1660" s="307">
        <v>1</v>
      </c>
      <c r="F1660" s="311">
        <v>400</v>
      </c>
      <c r="G1660" s="307">
        <v>89</v>
      </c>
    </row>
    <row r="1661" spans="1:7" x14ac:dyDescent="0.2">
      <c r="A1661" s="310" t="s">
        <v>1358</v>
      </c>
      <c r="B1661" s="310" t="s">
        <v>1375</v>
      </c>
      <c r="C1661" s="309">
        <v>42037</v>
      </c>
      <c r="D1661" s="308" t="s">
        <v>1468</v>
      </c>
      <c r="E1661" s="307">
        <v>1</v>
      </c>
      <c r="F1661" s="311">
        <v>300</v>
      </c>
      <c r="G1661" s="307">
        <v>89</v>
      </c>
    </row>
    <row r="1662" spans="1:7" x14ac:dyDescent="0.2">
      <c r="A1662" s="310" t="s">
        <v>1358</v>
      </c>
      <c r="B1662" s="310" t="s">
        <v>1375</v>
      </c>
      <c r="C1662" s="309">
        <v>42037</v>
      </c>
      <c r="D1662" s="308" t="s">
        <v>1453</v>
      </c>
      <c r="E1662" s="307">
        <v>1</v>
      </c>
      <c r="F1662" s="311">
        <v>300</v>
      </c>
      <c r="G1662" s="307">
        <v>89</v>
      </c>
    </row>
    <row r="1663" spans="1:7" x14ac:dyDescent="0.2">
      <c r="A1663" s="310" t="s">
        <v>1358</v>
      </c>
      <c r="B1663" s="310" t="s">
        <v>1375</v>
      </c>
      <c r="C1663" s="309">
        <v>42289</v>
      </c>
      <c r="D1663" s="308" t="s">
        <v>1425</v>
      </c>
      <c r="E1663" s="307">
        <v>1</v>
      </c>
      <c r="F1663" s="311">
        <v>300</v>
      </c>
      <c r="G1663" s="307">
        <v>89</v>
      </c>
    </row>
    <row r="1664" spans="1:7" x14ac:dyDescent="0.2">
      <c r="A1664" s="310" t="s">
        <v>1358</v>
      </c>
      <c r="B1664" s="310" t="s">
        <v>1375</v>
      </c>
      <c r="C1664" s="309">
        <v>42289</v>
      </c>
      <c r="D1664" s="308" t="s">
        <v>1413</v>
      </c>
      <c r="E1664" s="307">
        <v>1</v>
      </c>
      <c r="F1664" s="311">
        <v>300</v>
      </c>
      <c r="G1664" s="307">
        <v>89</v>
      </c>
    </row>
    <row r="1665" spans="1:7" x14ac:dyDescent="0.2">
      <c r="A1665" s="310" t="s">
        <v>1358</v>
      </c>
      <c r="B1665" s="310" t="s">
        <v>1375</v>
      </c>
      <c r="C1665" s="309">
        <v>42460</v>
      </c>
      <c r="D1665" s="308" t="s">
        <v>3017</v>
      </c>
      <c r="E1665" s="307">
        <v>1</v>
      </c>
      <c r="F1665" s="311">
        <v>320</v>
      </c>
      <c r="G1665" s="307">
        <v>89</v>
      </c>
    </row>
    <row r="1666" spans="1:7" x14ac:dyDescent="0.2">
      <c r="A1666" s="310" t="s">
        <v>1358</v>
      </c>
      <c r="B1666" s="310" t="s">
        <v>1375</v>
      </c>
      <c r="C1666" s="309">
        <v>42460</v>
      </c>
      <c r="D1666" s="308" t="s">
        <v>3026</v>
      </c>
      <c r="E1666" s="307">
        <v>1</v>
      </c>
      <c r="F1666" s="311">
        <v>320</v>
      </c>
      <c r="G1666" s="307">
        <v>89</v>
      </c>
    </row>
    <row r="1667" spans="1:7" x14ac:dyDescent="0.2">
      <c r="A1667" s="310" t="s">
        <v>1319</v>
      </c>
      <c r="B1667" s="310" t="s">
        <v>1371</v>
      </c>
      <c r="C1667" s="309">
        <v>42258</v>
      </c>
      <c r="D1667" s="308" t="s">
        <v>2001</v>
      </c>
      <c r="E1667" s="307">
        <v>1</v>
      </c>
      <c r="F1667" s="311">
        <v>100</v>
      </c>
      <c r="G1667" s="306">
        <f>86+(4)</f>
        <v>90</v>
      </c>
    </row>
    <row r="1668" spans="1:7" x14ac:dyDescent="0.2">
      <c r="A1668" s="310" t="s">
        <v>1319</v>
      </c>
      <c r="B1668" s="310" t="s">
        <v>1373</v>
      </c>
      <c r="C1668" s="309">
        <v>42415</v>
      </c>
      <c r="D1668" s="308" t="s">
        <v>2074</v>
      </c>
      <c r="E1668" s="307">
        <v>1</v>
      </c>
      <c r="F1668" s="311">
        <v>120</v>
      </c>
      <c r="G1668" s="306">
        <f>97-(7)</f>
        <v>90</v>
      </c>
    </row>
    <row r="1669" spans="1:7" x14ac:dyDescent="0.2">
      <c r="A1669" s="310" t="s">
        <v>1313</v>
      </c>
      <c r="B1669" s="310" t="s">
        <v>1373</v>
      </c>
      <c r="C1669" s="309">
        <v>42105</v>
      </c>
      <c r="D1669" s="308" t="s">
        <v>1643</v>
      </c>
      <c r="E1669" s="307">
        <v>1</v>
      </c>
      <c r="F1669" s="311">
        <v>200</v>
      </c>
      <c r="G1669" s="306">
        <f>97-(7)</f>
        <v>90</v>
      </c>
    </row>
    <row r="1670" spans="1:7" x14ac:dyDescent="0.2">
      <c r="A1670" s="310" t="s">
        <v>1374</v>
      </c>
      <c r="B1670" s="310" t="s">
        <v>1369</v>
      </c>
      <c r="C1670" s="309">
        <v>42531</v>
      </c>
      <c r="D1670" s="308" t="s">
        <v>2235</v>
      </c>
      <c r="E1670" s="307">
        <v>1</v>
      </c>
      <c r="F1670" s="311">
        <v>320</v>
      </c>
      <c r="G1670" s="307">
        <v>90</v>
      </c>
    </row>
    <row r="1671" spans="1:7" x14ac:dyDescent="0.2">
      <c r="A1671" s="310" t="s">
        <v>1374</v>
      </c>
      <c r="B1671" s="310" t="s">
        <v>1369</v>
      </c>
      <c r="C1671" s="309">
        <v>42531</v>
      </c>
      <c r="D1671" s="308" t="s">
        <v>2232</v>
      </c>
      <c r="E1671" s="307">
        <v>1</v>
      </c>
      <c r="F1671" s="311">
        <v>320</v>
      </c>
      <c r="G1671" s="307">
        <v>90</v>
      </c>
    </row>
    <row r="1672" spans="1:7" x14ac:dyDescent="0.2">
      <c r="A1672" s="310" t="s">
        <v>1374</v>
      </c>
      <c r="B1672" s="310" t="s">
        <v>1369</v>
      </c>
      <c r="C1672" s="309">
        <v>42531</v>
      </c>
      <c r="D1672" s="308" t="s">
        <v>2226</v>
      </c>
      <c r="E1672" s="307">
        <v>1</v>
      </c>
      <c r="F1672" s="311">
        <v>320</v>
      </c>
      <c r="G1672" s="307">
        <v>90</v>
      </c>
    </row>
    <row r="1673" spans="1:7" x14ac:dyDescent="0.2">
      <c r="A1673" s="310" t="s">
        <v>1374</v>
      </c>
      <c r="B1673" s="310" t="s">
        <v>1369</v>
      </c>
      <c r="C1673" s="309">
        <v>42531</v>
      </c>
      <c r="D1673" s="308" t="s">
        <v>2234</v>
      </c>
      <c r="E1673" s="307">
        <v>1</v>
      </c>
      <c r="F1673" s="311">
        <v>320</v>
      </c>
      <c r="G1673" s="307">
        <v>90</v>
      </c>
    </row>
    <row r="1674" spans="1:7" x14ac:dyDescent="0.2">
      <c r="A1674" s="310" t="s">
        <v>1372</v>
      </c>
      <c r="B1674" s="310" t="s">
        <v>1363</v>
      </c>
      <c r="C1674" s="309">
        <v>42685</v>
      </c>
      <c r="D1674" s="308" t="s">
        <v>2284</v>
      </c>
      <c r="E1674" s="307">
        <v>1</v>
      </c>
      <c r="F1674" s="311">
        <v>310</v>
      </c>
      <c r="G1674" s="307">
        <v>90</v>
      </c>
    </row>
    <row r="1675" spans="1:7" x14ac:dyDescent="0.2">
      <c r="A1675" s="310" t="s">
        <v>1370</v>
      </c>
      <c r="B1675" s="310" t="s">
        <v>1361</v>
      </c>
      <c r="C1675" s="309">
        <v>42036</v>
      </c>
      <c r="D1675" s="308" t="s">
        <v>1920</v>
      </c>
      <c r="E1675" s="307">
        <v>1</v>
      </c>
      <c r="F1675" s="311">
        <v>500</v>
      </c>
      <c r="G1675" s="303">
        <f>95-(5)</f>
        <v>90</v>
      </c>
    </row>
    <row r="1676" spans="1:7" x14ac:dyDescent="0.2">
      <c r="A1676" s="310" t="s">
        <v>1370</v>
      </c>
      <c r="B1676" s="310" t="s">
        <v>1373</v>
      </c>
      <c r="C1676" s="309">
        <v>42658</v>
      </c>
      <c r="D1676" s="308" t="s">
        <v>2347</v>
      </c>
      <c r="E1676" s="307">
        <v>1</v>
      </c>
      <c r="F1676" s="311">
        <v>500</v>
      </c>
      <c r="G1676" s="306">
        <f>97-(7)</f>
        <v>90</v>
      </c>
    </row>
    <row r="1677" spans="1:7" x14ac:dyDescent="0.2">
      <c r="A1677" s="310" t="s">
        <v>1368</v>
      </c>
      <c r="B1677" s="310" t="s">
        <v>1367</v>
      </c>
      <c r="C1677" s="309">
        <v>42170</v>
      </c>
      <c r="D1677" s="308" t="s">
        <v>1592</v>
      </c>
      <c r="E1677" s="307">
        <v>1</v>
      </c>
      <c r="F1677" s="311">
        <v>200</v>
      </c>
      <c r="G1677" s="306">
        <v>90</v>
      </c>
    </row>
    <row r="1678" spans="1:7" x14ac:dyDescent="0.2">
      <c r="A1678" s="310" t="s">
        <v>1368</v>
      </c>
      <c r="B1678" s="310" t="s">
        <v>1367</v>
      </c>
      <c r="C1678" s="309">
        <v>42282</v>
      </c>
      <c r="D1678" s="308" t="s">
        <v>1758</v>
      </c>
      <c r="E1678" s="307">
        <v>1</v>
      </c>
      <c r="F1678" s="311">
        <v>200</v>
      </c>
      <c r="G1678" s="306">
        <v>90</v>
      </c>
    </row>
    <row r="1679" spans="1:7" x14ac:dyDescent="0.2">
      <c r="A1679" s="310" t="s">
        <v>1368</v>
      </c>
      <c r="B1679" s="310" t="s">
        <v>1371</v>
      </c>
      <c r="C1679" s="309">
        <v>42323</v>
      </c>
      <c r="D1679" s="308" t="s">
        <v>1897</v>
      </c>
      <c r="E1679" s="307">
        <v>1</v>
      </c>
      <c r="F1679" s="311">
        <v>200</v>
      </c>
      <c r="G1679" s="306">
        <f>86+(4)</f>
        <v>90</v>
      </c>
    </row>
    <row r="1680" spans="1:7" x14ac:dyDescent="0.2">
      <c r="A1680" s="310" t="s">
        <v>1368</v>
      </c>
      <c r="B1680" s="310" t="s">
        <v>1371</v>
      </c>
      <c r="C1680" s="309">
        <v>42340</v>
      </c>
      <c r="D1680" s="308" t="s">
        <v>1864</v>
      </c>
      <c r="E1680" s="307">
        <v>1</v>
      </c>
      <c r="F1680" s="311">
        <v>200</v>
      </c>
      <c r="G1680" s="306">
        <f>86+(4)</f>
        <v>90</v>
      </c>
    </row>
    <row r="1681" spans="1:7" x14ac:dyDescent="0.2">
      <c r="A1681" s="310" t="s">
        <v>1368</v>
      </c>
      <c r="B1681" s="310" t="s">
        <v>1371</v>
      </c>
      <c r="C1681" s="309">
        <v>42340</v>
      </c>
      <c r="D1681" s="308" t="s">
        <v>1862</v>
      </c>
      <c r="E1681" s="307">
        <v>1</v>
      </c>
      <c r="F1681" s="311">
        <v>200</v>
      </c>
      <c r="G1681" s="306">
        <f>86+(4)</f>
        <v>90</v>
      </c>
    </row>
    <row r="1682" spans="1:7" x14ac:dyDescent="0.2">
      <c r="A1682" s="310" t="s">
        <v>1368</v>
      </c>
      <c r="B1682" s="310" t="s">
        <v>1371</v>
      </c>
      <c r="C1682" s="309">
        <v>42340</v>
      </c>
      <c r="D1682" s="308" t="s">
        <v>1517</v>
      </c>
      <c r="E1682" s="307">
        <v>1</v>
      </c>
      <c r="F1682" s="311">
        <v>200</v>
      </c>
      <c r="G1682" s="306">
        <f>86+(4)</f>
        <v>90</v>
      </c>
    </row>
    <row r="1683" spans="1:7" x14ac:dyDescent="0.2">
      <c r="A1683" s="310" t="s">
        <v>1368</v>
      </c>
      <c r="B1683" s="310" t="s">
        <v>1371</v>
      </c>
      <c r="C1683" s="309">
        <v>42340</v>
      </c>
      <c r="D1683" s="308" t="s">
        <v>1844</v>
      </c>
      <c r="E1683" s="307">
        <v>1</v>
      </c>
      <c r="F1683" s="311">
        <v>200</v>
      </c>
      <c r="G1683" s="306">
        <f>86+(4)</f>
        <v>90</v>
      </c>
    </row>
    <row r="1684" spans="1:7" x14ac:dyDescent="0.2">
      <c r="A1684" s="310" t="s">
        <v>1368</v>
      </c>
      <c r="B1684" s="310" t="s">
        <v>1367</v>
      </c>
      <c r="C1684" s="309">
        <v>42453</v>
      </c>
      <c r="D1684" s="308" t="s">
        <v>2480</v>
      </c>
      <c r="E1684" s="307">
        <v>1</v>
      </c>
      <c r="F1684" s="311">
        <v>200</v>
      </c>
      <c r="G1684" s="306">
        <v>90</v>
      </c>
    </row>
    <row r="1685" spans="1:7" x14ac:dyDescent="0.2">
      <c r="A1685" s="310" t="s">
        <v>1368</v>
      </c>
      <c r="B1685" s="310" t="s">
        <v>1367</v>
      </c>
      <c r="C1685" s="309">
        <v>42453</v>
      </c>
      <c r="D1685" s="308" t="s">
        <v>2479</v>
      </c>
      <c r="E1685" s="307">
        <v>1</v>
      </c>
      <c r="F1685" s="311">
        <v>200</v>
      </c>
      <c r="G1685" s="306">
        <v>90</v>
      </c>
    </row>
    <row r="1686" spans="1:7" x14ac:dyDescent="0.2">
      <c r="A1686" s="310" t="s">
        <v>1368</v>
      </c>
      <c r="B1686" s="310" t="s">
        <v>1367</v>
      </c>
      <c r="C1686" s="309">
        <v>42461</v>
      </c>
      <c r="D1686" s="308" t="s">
        <v>2493</v>
      </c>
      <c r="E1686" s="307">
        <v>1</v>
      </c>
      <c r="F1686" s="311">
        <v>200</v>
      </c>
      <c r="G1686" s="306">
        <v>90</v>
      </c>
    </row>
    <row r="1687" spans="1:7" x14ac:dyDescent="0.2">
      <c r="A1687" s="310" t="s">
        <v>1368</v>
      </c>
      <c r="B1687" s="310" t="s">
        <v>1367</v>
      </c>
      <c r="C1687" s="309">
        <v>42490</v>
      </c>
      <c r="D1687" s="308" t="s">
        <v>2521</v>
      </c>
      <c r="E1687" s="307">
        <v>1</v>
      </c>
      <c r="F1687" s="311">
        <v>200</v>
      </c>
      <c r="G1687" s="306">
        <v>90</v>
      </c>
    </row>
    <row r="1688" spans="1:7" x14ac:dyDescent="0.2">
      <c r="A1688" s="310" t="s">
        <v>1368</v>
      </c>
      <c r="B1688" s="310" t="s">
        <v>1367</v>
      </c>
      <c r="C1688" s="309">
        <v>42505</v>
      </c>
      <c r="D1688" s="308" t="s">
        <v>2531</v>
      </c>
      <c r="E1688" s="307">
        <v>1</v>
      </c>
      <c r="F1688" s="311">
        <v>200</v>
      </c>
      <c r="G1688" s="306">
        <v>90</v>
      </c>
    </row>
    <row r="1689" spans="1:7" x14ac:dyDescent="0.2">
      <c r="A1689" s="310" t="s">
        <v>1368</v>
      </c>
      <c r="B1689" s="310" t="s">
        <v>1367</v>
      </c>
      <c r="C1689" s="309">
        <v>42505</v>
      </c>
      <c r="D1689" s="308" t="s">
        <v>2566</v>
      </c>
      <c r="E1689" s="307">
        <v>1</v>
      </c>
      <c r="F1689" s="311">
        <v>200</v>
      </c>
      <c r="G1689" s="306">
        <v>90</v>
      </c>
    </row>
    <row r="1690" spans="1:7" x14ac:dyDescent="0.2">
      <c r="A1690" s="310" t="s">
        <v>1368</v>
      </c>
      <c r="B1690" s="310" t="s">
        <v>1367</v>
      </c>
      <c r="C1690" s="309">
        <v>42563</v>
      </c>
      <c r="D1690" s="308" t="s">
        <v>2598</v>
      </c>
      <c r="E1690" s="307">
        <v>1</v>
      </c>
      <c r="F1690" s="311">
        <v>200</v>
      </c>
      <c r="G1690" s="306">
        <v>90</v>
      </c>
    </row>
    <row r="1691" spans="1:7" x14ac:dyDescent="0.2">
      <c r="A1691" s="310" t="s">
        <v>1368</v>
      </c>
      <c r="B1691" s="310" t="s">
        <v>1367</v>
      </c>
      <c r="C1691" s="309">
        <v>42563</v>
      </c>
      <c r="D1691" s="308" t="s">
        <v>2593</v>
      </c>
      <c r="E1691" s="307">
        <v>1</v>
      </c>
      <c r="F1691" s="311">
        <v>200</v>
      </c>
      <c r="G1691" s="306">
        <v>90</v>
      </c>
    </row>
    <row r="1692" spans="1:7" x14ac:dyDescent="0.2">
      <c r="A1692" s="310" t="s">
        <v>1368</v>
      </c>
      <c r="B1692" s="310" t="s">
        <v>1367</v>
      </c>
      <c r="C1692" s="309">
        <v>42593</v>
      </c>
      <c r="D1692" s="308" t="s">
        <v>2629</v>
      </c>
      <c r="E1692" s="307">
        <v>1</v>
      </c>
      <c r="F1692" s="311">
        <v>200</v>
      </c>
      <c r="G1692" s="306">
        <v>90</v>
      </c>
    </row>
    <row r="1693" spans="1:7" x14ac:dyDescent="0.2">
      <c r="A1693" s="310" t="s">
        <v>1366</v>
      </c>
      <c r="B1693" s="310" t="s">
        <v>1376</v>
      </c>
      <c r="C1693" s="309">
        <v>42053</v>
      </c>
      <c r="D1693" s="308" t="s">
        <v>1506</v>
      </c>
      <c r="E1693" s="307">
        <v>1</v>
      </c>
      <c r="F1693" s="311">
        <v>350</v>
      </c>
      <c r="G1693" s="306">
        <v>90</v>
      </c>
    </row>
    <row r="1694" spans="1:7" x14ac:dyDescent="0.2">
      <c r="A1694" s="310" t="s">
        <v>1366</v>
      </c>
      <c r="B1694" s="310" t="s">
        <v>1376</v>
      </c>
      <c r="C1694" s="309">
        <v>42259</v>
      </c>
      <c r="D1694" s="308" t="s">
        <v>1589</v>
      </c>
      <c r="E1694" s="307">
        <v>1</v>
      </c>
      <c r="F1694" s="311">
        <v>350</v>
      </c>
      <c r="G1694" s="306">
        <v>90</v>
      </c>
    </row>
    <row r="1695" spans="1:7" x14ac:dyDescent="0.2">
      <c r="A1695" s="310" t="s">
        <v>1366</v>
      </c>
      <c r="B1695" s="310" t="s">
        <v>1376</v>
      </c>
      <c r="C1695" s="309">
        <v>42259</v>
      </c>
      <c r="D1695" s="308" t="s">
        <v>1474</v>
      </c>
      <c r="E1695" s="307">
        <v>1</v>
      </c>
      <c r="F1695" s="311">
        <v>350</v>
      </c>
      <c r="G1695" s="306">
        <v>90</v>
      </c>
    </row>
    <row r="1696" spans="1:7" x14ac:dyDescent="0.2">
      <c r="A1696" s="310" t="s">
        <v>1366</v>
      </c>
      <c r="B1696" s="310" t="s">
        <v>1376</v>
      </c>
      <c r="C1696" s="309">
        <v>42562</v>
      </c>
      <c r="D1696" s="308" t="s">
        <v>2654</v>
      </c>
      <c r="E1696" s="307">
        <v>1</v>
      </c>
      <c r="F1696" s="311">
        <v>380</v>
      </c>
      <c r="G1696" s="306">
        <v>90</v>
      </c>
    </row>
    <row r="1697" spans="1:7" x14ac:dyDescent="0.2">
      <c r="A1697" s="310" t="s">
        <v>1366</v>
      </c>
      <c r="B1697" s="310" t="s">
        <v>1376</v>
      </c>
      <c r="C1697" s="309">
        <v>42562</v>
      </c>
      <c r="D1697" s="308" t="s">
        <v>2668</v>
      </c>
      <c r="E1697" s="307">
        <v>1</v>
      </c>
      <c r="F1697" s="311">
        <v>380</v>
      </c>
      <c r="G1697" s="306">
        <v>90</v>
      </c>
    </row>
    <row r="1698" spans="1:7" x14ac:dyDescent="0.2">
      <c r="A1698" s="310" t="s">
        <v>1364</v>
      </c>
      <c r="B1698" s="310" t="s">
        <v>1367</v>
      </c>
      <c r="C1698" s="309">
        <v>42638</v>
      </c>
      <c r="D1698" s="308" t="s">
        <v>2765</v>
      </c>
      <c r="E1698" s="307">
        <v>1</v>
      </c>
      <c r="F1698" s="311">
        <v>650</v>
      </c>
      <c r="G1698" s="306">
        <v>90</v>
      </c>
    </row>
    <row r="1699" spans="1:7" x14ac:dyDescent="0.2">
      <c r="A1699" s="310" t="s">
        <v>1364</v>
      </c>
      <c r="B1699" s="310" t="s">
        <v>1367</v>
      </c>
      <c r="C1699" s="309">
        <v>42638</v>
      </c>
      <c r="D1699" s="308" t="s">
        <v>2772</v>
      </c>
      <c r="E1699" s="307">
        <v>1</v>
      </c>
      <c r="F1699" s="311">
        <v>650</v>
      </c>
      <c r="G1699" s="306">
        <v>90</v>
      </c>
    </row>
    <row r="1700" spans="1:7" x14ac:dyDescent="0.2">
      <c r="A1700" s="310" t="s">
        <v>1359</v>
      </c>
      <c r="B1700" s="310" t="s">
        <v>1363</v>
      </c>
      <c r="C1700" s="309">
        <v>42125</v>
      </c>
      <c r="D1700" s="308" t="s">
        <v>1485</v>
      </c>
      <c r="E1700" s="307">
        <v>1</v>
      </c>
      <c r="F1700" s="311">
        <v>400</v>
      </c>
      <c r="G1700" s="307">
        <v>90</v>
      </c>
    </row>
    <row r="1701" spans="1:7" x14ac:dyDescent="0.2">
      <c r="A1701" s="310" t="s">
        <v>1359</v>
      </c>
      <c r="B1701" s="310" t="s">
        <v>1363</v>
      </c>
      <c r="C1701" s="309">
        <v>42424</v>
      </c>
      <c r="D1701" s="308" t="s">
        <v>2960</v>
      </c>
      <c r="E1701" s="307">
        <v>1</v>
      </c>
      <c r="F1701" s="311">
        <v>400</v>
      </c>
      <c r="G1701" s="307">
        <v>90</v>
      </c>
    </row>
    <row r="1702" spans="1:7" x14ac:dyDescent="0.2">
      <c r="A1702" s="310" t="s">
        <v>1359</v>
      </c>
      <c r="B1702" s="310" t="s">
        <v>1363</v>
      </c>
      <c r="C1702" s="309">
        <v>42424</v>
      </c>
      <c r="D1702" s="308" t="s">
        <v>2949</v>
      </c>
      <c r="E1702" s="307">
        <v>1</v>
      </c>
      <c r="F1702" s="311">
        <v>400</v>
      </c>
      <c r="G1702" s="307">
        <v>90</v>
      </c>
    </row>
    <row r="1703" spans="1:7" x14ac:dyDescent="0.2">
      <c r="A1703" s="310" t="s">
        <v>1358</v>
      </c>
      <c r="B1703" s="310" t="s">
        <v>1375</v>
      </c>
      <c r="C1703" s="309">
        <v>42289</v>
      </c>
      <c r="D1703" s="308" t="s">
        <v>1430</v>
      </c>
      <c r="E1703" s="307">
        <v>1</v>
      </c>
      <c r="F1703" s="311">
        <v>300</v>
      </c>
      <c r="G1703" s="307">
        <v>90</v>
      </c>
    </row>
    <row r="1704" spans="1:7" x14ac:dyDescent="0.2">
      <c r="A1704" s="310" t="s">
        <v>1358</v>
      </c>
      <c r="B1704" s="310" t="s">
        <v>1375</v>
      </c>
      <c r="C1704" s="309">
        <v>42460</v>
      </c>
      <c r="D1704" s="308" t="s">
        <v>3018</v>
      </c>
      <c r="E1704" s="307">
        <v>1</v>
      </c>
      <c r="F1704" s="311">
        <v>320</v>
      </c>
      <c r="G1704" s="307">
        <v>90</v>
      </c>
    </row>
    <row r="1705" spans="1:7" x14ac:dyDescent="0.2">
      <c r="A1705" s="310" t="s">
        <v>1319</v>
      </c>
      <c r="B1705" s="310" t="s">
        <v>1361</v>
      </c>
      <c r="C1705" s="309">
        <v>42019</v>
      </c>
      <c r="D1705" s="308" t="s">
        <v>1709</v>
      </c>
      <c r="E1705" s="307">
        <v>1</v>
      </c>
      <c r="F1705" s="311">
        <v>100</v>
      </c>
      <c r="G1705" s="303">
        <f>96-(5)</f>
        <v>91</v>
      </c>
    </row>
    <row r="1706" spans="1:7" x14ac:dyDescent="0.2">
      <c r="A1706" s="310" t="s">
        <v>1319</v>
      </c>
      <c r="B1706" s="310" t="s">
        <v>1371</v>
      </c>
      <c r="C1706" s="309">
        <v>42258</v>
      </c>
      <c r="D1706" s="308" t="s">
        <v>2007</v>
      </c>
      <c r="E1706" s="307">
        <v>1</v>
      </c>
      <c r="F1706" s="311">
        <v>100</v>
      </c>
      <c r="G1706" s="306">
        <f>87+(4)</f>
        <v>91</v>
      </c>
    </row>
    <row r="1707" spans="1:7" x14ac:dyDescent="0.2">
      <c r="A1707" s="310" t="s">
        <v>1319</v>
      </c>
      <c r="B1707" s="310" t="s">
        <v>1367</v>
      </c>
      <c r="C1707" s="309">
        <v>42332</v>
      </c>
      <c r="D1707" s="308" t="s">
        <v>1531</v>
      </c>
      <c r="E1707" s="307">
        <v>1</v>
      </c>
      <c r="F1707" s="311">
        <v>100</v>
      </c>
      <c r="G1707" s="306">
        <v>91</v>
      </c>
    </row>
    <row r="1708" spans="1:7" x14ac:dyDescent="0.2">
      <c r="A1708" s="310" t="s">
        <v>1319</v>
      </c>
      <c r="B1708" s="310" t="s">
        <v>1373</v>
      </c>
      <c r="C1708" s="309">
        <v>42415</v>
      </c>
      <c r="D1708" s="308" t="s">
        <v>2075</v>
      </c>
      <c r="E1708" s="307">
        <v>1</v>
      </c>
      <c r="F1708" s="311">
        <v>120</v>
      </c>
      <c r="G1708" s="306">
        <f>98-(7)</f>
        <v>91</v>
      </c>
    </row>
    <row r="1709" spans="1:7" x14ac:dyDescent="0.2">
      <c r="A1709" s="310" t="s">
        <v>1319</v>
      </c>
      <c r="B1709" s="310" t="s">
        <v>1371</v>
      </c>
      <c r="C1709" s="309">
        <v>42476</v>
      </c>
      <c r="D1709" s="308" t="s">
        <v>2115</v>
      </c>
      <c r="E1709" s="307">
        <v>1</v>
      </c>
      <c r="F1709" s="311">
        <v>120</v>
      </c>
      <c r="G1709" s="306">
        <f>87+(4)</f>
        <v>91</v>
      </c>
    </row>
    <row r="1710" spans="1:7" x14ac:dyDescent="0.2">
      <c r="A1710" s="310" t="s">
        <v>1319</v>
      </c>
      <c r="B1710" s="310" t="s">
        <v>1367</v>
      </c>
      <c r="C1710" s="309">
        <v>42666</v>
      </c>
      <c r="D1710" s="308" t="s">
        <v>2157</v>
      </c>
      <c r="E1710" s="307">
        <v>1</v>
      </c>
      <c r="F1710" s="311">
        <v>120</v>
      </c>
      <c r="G1710" s="306">
        <v>91</v>
      </c>
    </row>
    <row r="1711" spans="1:7" x14ac:dyDescent="0.2">
      <c r="A1711" s="310" t="s">
        <v>1313</v>
      </c>
      <c r="B1711" s="310" t="s">
        <v>1373</v>
      </c>
      <c r="C1711" s="309">
        <v>42105</v>
      </c>
      <c r="D1711" s="308" t="s">
        <v>1732</v>
      </c>
      <c r="E1711" s="307">
        <v>1</v>
      </c>
      <c r="F1711" s="311">
        <v>200</v>
      </c>
      <c r="G1711" s="306">
        <f>98-(7)</f>
        <v>91</v>
      </c>
    </row>
    <row r="1712" spans="1:7" x14ac:dyDescent="0.2">
      <c r="A1712" s="310" t="s">
        <v>1313</v>
      </c>
      <c r="B1712" s="310" t="s">
        <v>1361</v>
      </c>
      <c r="C1712" s="309">
        <v>42177</v>
      </c>
      <c r="D1712" s="308" t="s">
        <v>1419</v>
      </c>
      <c r="E1712" s="307">
        <v>1</v>
      </c>
      <c r="F1712" s="311">
        <v>200</v>
      </c>
      <c r="G1712" s="303">
        <f>96-(5)</f>
        <v>91</v>
      </c>
    </row>
    <row r="1713" spans="1:7" x14ac:dyDescent="0.2">
      <c r="A1713" s="310" t="s">
        <v>1313</v>
      </c>
      <c r="B1713" s="310" t="s">
        <v>1373</v>
      </c>
      <c r="C1713" s="309">
        <v>42384</v>
      </c>
      <c r="D1713" s="308" t="s">
        <v>2178</v>
      </c>
      <c r="E1713" s="307">
        <v>1</v>
      </c>
      <c r="F1713" s="311">
        <v>210</v>
      </c>
      <c r="G1713" s="306">
        <f>98-(7)</f>
        <v>91</v>
      </c>
    </row>
    <row r="1714" spans="1:7" x14ac:dyDescent="0.2">
      <c r="A1714" s="310" t="s">
        <v>1374</v>
      </c>
      <c r="B1714" s="310" t="s">
        <v>1369</v>
      </c>
      <c r="C1714" s="309">
        <v>42227</v>
      </c>
      <c r="D1714" s="308" t="s">
        <v>1820</v>
      </c>
      <c r="E1714" s="307">
        <v>1</v>
      </c>
      <c r="F1714" s="311">
        <v>300</v>
      </c>
      <c r="G1714" s="307">
        <v>91</v>
      </c>
    </row>
    <row r="1715" spans="1:7" x14ac:dyDescent="0.2">
      <c r="A1715" s="310" t="s">
        <v>1370</v>
      </c>
      <c r="B1715" s="310" t="s">
        <v>1361</v>
      </c>
      <c r="C1715" s="309">
        <v>42036</v>
      </c>
      <c r="D1715" s="308" t="s">
        <v>1712</v>
      </c>
      <c r="E1715" s="307">
        <v>1</v>
      </c>
      <c r="F1715" s="311">
        <v>500</v>
      </c>
      <c r="G1715" s="303">
        <f>96-(5)</f>
        <v>91</v>
      </c>
    </row>
    <row r="1716" spans="1:7" x14ac:dyDescent="0.2">
      <c r="A1716" s="310" t="s">
        <v>1370</v>
      </c>
      <c r="B1716" s="310" t="s">
        <v>1373</v>
      </c>
      <c r="C1716" s="309">
        <v>42288</v>
      </c>
      <c r="D1716" s="308" t="s">
        <v>1930</v>
      </c>
      <c r="E1716" s="307">
        <v>1</v>
      </c>
      <c r="F1716" s="311">
        <v>500</v>
      </c>
      <c r="G1716" s="306">
        <f>98-(7)</f>
        <v>91</v>
      </c>
    </row>
    <row r="1717" spans="1:7" x14ac:dyDescent="0.2">
      <c r="A1717" s="310" t="s">
        <v>1370</v>
      </c>
      <c r="B1717" s="310" t="s">
        <v>1361</v>
      </c>
      <c r="C1717" s="309">
        <v>42447</v>
      </c>
      <c r="D1717" s="308" t="s">
        <v>2213</v>
      </c>
      <c r="E1717" s="307">
        <v>1</v>
      </c>
      <c r="F1717" s="311">
        <v>500</v>
      </c>
      <c r="G1717" s="303">
        <f>96-(5)</f>
        <v>91</v>
      </c>
    </row>
    <row r="1718" spans="1:7" x14ac:dyDescent="0.2">
      <c r="A1718" s="310" t="s">
        <v>1368</v>
      </c>
      <c r="B1718" s="310" t="s">
        <v>1367</v>
      </c>
      <c r="C1718" s="309">
        <v>42068</v>
      </c>
      <c r="D1718" s="308" t="s">
        <v>1676</v>
      </c>
      <c r="E1718" s="307">
        <v>1</v>
      </c>
      <c r="F1718" s="311">
        <v>200</v>
      </c>
      <c r="G1718" s="306">
        <v>91</v>
      </c>
    </row>
    <row r="1719" spans="1:7" x14ac:dyDescent="0.2">
      <c r="A1719" s="310" t="s">
        <v>1368</v>
      </c>
      <c r="B1719" s="310" t="s">
        <v>1367</v>
      </c>
      <c r="C1719" s="309">
        <v>42170</v>
      </c>
      <c r="D1719" s="308" t="s">
        <v>1802</v>
      </c>
      <c r="E1719" s="307">
        <v>1</v>
      </c>
      <c r="F1719" s="311">
        <v>200</v>
      </c>
      <c r="G1719" s="306">
        <v>91</v>
      </c>
    </row>
    <row r="1720" spans="1:7" x14ac:dyDescent="0.2">
      <c r="A1720" s="310" t="s">
        <v>1368</v>
      </c>
      <c r="B1720" s="310" t="s">
        <v>1367</v>
      </c>
      <c r="C1720" s="309">
        <v>42282</v>
      </c>
      <c r="D1720" s="308" t="s">
        <v>1761</v>
      </c>
      <c r="E1720" s="307">
        <v>1</v>
      </c>
      <c r="F1720" s="311">
        <v>200</v>
      </c>
      <c r="G1720" s="306">
        <v>91</v>
      </c>
    </row>
    <row r="1721" spans="1:7" x14ac:dyDescent="0.2">
      <c r="A1721" s="310" t="s">
        <v>1368</v>
      </c>
      <c r="B1721" s="310" t="s">
        <v>1367</v>
      </c>
      <c r="C1721" s="309">
        <v>42282</v>
      </c>
      <c r="D1721" s="308" t="s">
        <v>1754</v>
      </c>
      <c r="E1721" s="307">
        <v>1</v>
      </c>
      <c r="F1721" s="311">
        <v>200</v>
      </c>
      <c r="G1721" s="306">
        <v>91</v>
      </c>
    </row>
    <row r="1722" spans="1:7" x14ac:dyDescent="0.2">
      <c r="A1722" s="310" t="s">
        <v>1368</v>
      </c>
      <c r="B1722" s="310" t="s">
        <v>1371</v>
      </c>
      <c r="C1722" s="309">
        <v>42323</v>
      </c>
      <c r="D1722" s="308" t="s">
        <v>1493</v>
      </c>
      <c r="E1722" s="307">
        <v>1</v>
      </c>
      <c r="F1722" s="311">
        <v>200</v>
      </c>
      <c r="G1722" s="306">
        <f>87+(4)</f>
        <v>91</v>
      </c>
    </row>
    <row r="1723" spans="1:7" x14ac:dyDescent="0.2">
      <c r="A1723" s="310" t="s">
        <v>1368</v>
      </c>
      <c r="B1723" s="310" t="s">
        <v>1371</v>
      </c>
      <c r="C1723" s="309">
        <v>42340</v>
      </c>
      <c r="D1723" s="308" t="s">
        <v>1422</v>
      </c>
      <c r="E1723" s="307">
        <v>1</v>
      </c>
      <c r="F1723" s="311">
        <v>200</v>
      </c>
      <c r="G1723" s="306">
        <f>87+(4)</f>
        <v>91</v>
      </c>
    </row>
    <row r="1724" spans="1:7" x14ac:dyDescent="0.2">
      <c r="A1724" s="310" t="s">
        <v>1368</v>
      </c>
      <c r="B1724" s="310" t="s">
        <v>1371</v>
      </c>
      <c r="C1724" s="309">
        <v>42412</v>
      </c>
      <c r="D1724" s="308" t="s">
        <v>2414</v>
      </c>
      <c r="E1724" s="307">
        <v>1</v>
      </c>
      <c r="F1724" s="311">
        <v>200</v>
      </c>
      <c r="G1724" s="306">
        <f>87+(4)</f>
        <v>91</v>
      </c>
    </row>
    <row r="1725" spans="1:7" x14ac:dyDescent="0.2">
      <c r="A1725" s="310" t="s">
        <v>1368</v>
      </c>
      <c r="B1725" s="310" t="s">
        <v>1371</v>
      </c>
      <c r="C1725" s="309">
        <v>42412</v>
      </c>
      <c r="D1725" s="308" t="s">
        <v>2450</v>
      </c>
      <c r="E1725" s="307">
        <v>1</v>
      </c>
      <c r="F1725" s="311">
        <v>200</v>
      </c>
      <c r="G1725" s="306">
        <f>87+(4)</f>
        <v>91</v>
      </c>
    </row>
    <row r="1726" spans="1:7" x14ac:dyDescent="0.2">
      <c r="A1726" s="310" t="s">
        <v>1368</v>
      </c>
      <c r="B1726" s="310" t="s">
        <v>1371</v>
      </c>
      <c r="C1726" s="309">
        <v>42412</v>
      </c>
      <c r="D1726" s="308" t="s">
        <v>2456</v>
      </c>
      <c r="E1726" s="307">
        <v>1</v>
      </c>
      <c r="F1726" s="311">
        <v>200</v>
      </c>
      <c r="G1726" s="306">
        <f>87+(4)</f>
        <v>91</v>
      </c>
    </row>
    <row r="1727" spans="1:7" x14ac:dyDescent="0.2">
      <c r="A1727" s="310" t="s">
        <v>1368</v>
      </c>
      <c r="B1727" s="310" t="s">
        <v>1367</v>
      </c>
      <c r="C1727" s="309">
        <v>42461</v>
      </c>
      <c r="D1727" s="308" t="s">
        <v>2499</v>
      </c>
      <c r="E1727" s="307">
        <v>1</v>
      </c>
      <c r="F1727" s="311">
        <v>200</v>
      </c>
      <c r="G1727" s="306">
        <v>91</v>
      </c>
    </row>
    <row r="1728" spans="1:7" x14ac:dyDescent="0.2">
      <c r="A1728" s="310" t="s">
        <v>1368</v>
      </c>
      <c r="B1728" s="310" t="s">
        <v>1367</v>
      </c>
      <c r="C1728" s="309">
        <v>42505</v>
      </c>
      <c r="D1728" s="308" t="s">
        <v>2559</v>
      </c>
      <c r="E1728" s="307">
        <v>1</v>
      </c>
      <c r="F1728" s="311">
        <v>200</v>
      </c>
      <c r="G1728" s="306">
        <v>91</v>
      </c>
    </row>
    <row r="1729" spans="1:7" x14ac:dyDescent="0.2">
      <c r="A1729" s="310" t="s">
        <v>1368</v>
      </c>
      <c r="B1729" s="310" t="s">
        <v>1367</v>
      </c>
      <c r="C1729" s="309">
        <v>42563</v>
      </c>
      <c r="D1729" s="308" t="s">
        <v>2609</v>
      </c>
      <c r="E1729" s="307">
        <v>1</v>
      </c>
      <c r="F1729" s="311">
        <v>200</v>
      </c>
      <c r="G1729" s="306">
        <v>91</v>
      </c>
    </row>
    <row r="1730" spans="1:7" x14ac:dyDescent="0.2">
      <c r="A1730" s="310" t="s">
        <v>1368</v>
      </c>
      <c r="B1730" s="310" t="s">
        <v>1367</v>
      </c>
      <c r="C1730" s="309">
        <v>42593</v>
      </c>
      <c r="D1730" s="308" t="s">
        <v>2620</v>
      </c>
      <c r="E1730" s="307">
        <v>1</v>
      </c>
      <c r="F1730" s="311">
        <v>200</v>
      </c>
      <c r="G1730" s="306">
        <v>91</v>
      </c>
    </row>
    <row r="1731" spans="1:7" x14ac:dyDescent="0.2">
      <c r="A1731" s="310" t="s">
        <v>1364</v>
      </c>
      <c r="B1731" s="310" t="s">
        <v>1367</v>
      </c>
      <c r="C1731" s="309">
        <v>42091</v>
      </c>
      <c r="D1731" s="308" t="s">
        <v>1680</v>
      </c>
      <c r="E1731" s="307">
        <v>1</v>
      </c>
      <c r="F1731" s="311">
        <v>600</v>
      </c>
      <c r="G1731" s="306">
        <v>91</v>
      </c>
    </row>
    <row r="1732" spans="1:7" x14ac:dyDescent="0.2">
      <c r="A1732" s="310" t="s">
        <v>1364</v>
      </c>
      <c r="B1732" s="310" t="s">
        <v>1371</v>
      </c>
      <c r="C1732" s="309">
        <v>42430</v>
      </c>
      <c r="D1732" s="308" t="s">
        <v>2722</v>
      </c>
      <c r="E1732" s="307">
        <v>1</v>
      </c>
      <c r="F1732" s="311">
        <v>650</v>
      </c>
      <c r="G1732" s="306">
        <f>87+(4)</f>
        <v>91</v>
      </c>
    </row>
    <row r="1733" spans="1:7" x14ac:dyDescent="0.2">
      <c r="A1733" s="310" t="s">
        <v>1364</v>
      </c>
      <c r="B1733" s="310" t="s">
        <v>1367</v>
      </c>
      <c r="C1733" s="309">
        <v>42638</v>
      </c>
      <c r="D1733" s="308" t="s">
        <v>2786</v>
      </c>
      <c r="E1733" s="307">
        <v>1</v>
      </c>
      <c r="F1733" s="311">
        <v>650</v>
      </c>
      <c r="G1733" s="306">
        <v>91</v>
      </c>
    </row>
    <row r="1734" spans="1:7" x14ac:dyDescent="0.2">
      <c r="A1734" s="310" t="s">
        <v>1360</v>
      </c>
      <c r="B1734" s="310" t="s">
        <v>1371</v>
      </c>
      <c r="C1734" s="309">
        <v>42022</v>
      </c>
      <c r="D1734" s="308" t="s">
        <v>1554</v>
      </c>
      <c r="E1734" s="307">
        <v>1</v>
      </c>
      <c r="F1734" s="311">
        <v>250</v>
      </c>
      <c r="G1734" s="306">
        <f>87+(4)</f>
        <v>91</v>
      </c>
    </row>
    <row r="1735" spans="1:7" x14ac:dyDescent="0.2">
      <c r="A1735" s="310" t="s">
        <v>1359</v>
      </c>
      <c r="B1735" s="310" t="s">
        <v>1363</v>
      </c>
      <c r="C1735" s="309">
        <v>42064</v>
      </c>
      <c r="D1735" s="308" t="s">
        <v>1542</v>
      </c>
      <c r="E1735" s="307">
        <v>1</v>
      </c>
      <c r="F1735" s="311">
        <v>400</v>
      </c>
      <c r="G1735" s="307">
        <v>91</v>
      </c>
    </row>
    <row r="1736" spans="1:7" x14ac:dyDescent="0.2">
      <c r="A1736" s="310" t="s">
        <v>1359</v>
      </c>
      <c r="B1736" s="310" t="s">
        <v>1363</v>
      </c>
      <c r="C1736" s="309">
        <v>42424</v>
      </c>
      <c r="D1736" s="308" t="s">
        <v>2938</v>
      </c>
      <c r="E1736" s="307">
        <v>1</v>
      </c>
      <c r="F1736" s="311">
        <v>400</v>
      </c>
      <c r="G1736" s="307">
        <v>91</v>
      </c>
    </row>
    <row r="1737" spans="1:7" x14ac:dyDescent="0.2">
      <c r="A1737" s="310" t="s">
        <v>1358</v>
      </c>
      <c r="B1737" s="310" t="s">
        <v>1375</v>
      </c>
      <c r="C1737" s="309">
        <v>42037</v>
      </c>
      <c r="D1737" s="308" t="s">
        <v>1467</v>
      </c>
      <c r="E1737" s="307">
        <v>1</v>
      </c>
      <c r="F1737" s="311">
        <v>300</v>
      </c>
      <c r="G1737" s="307">
        <v>91</v>
      </c>
    </row>
    <row r="1738" spans="1:7" x14ac:dyDescent="0.2">
      <c r="A1738" s="310" t="s">
        <v>1358</v>
      </c>
      <c r="B1738" s="310" t="s">
        <v>1375</v>
      </c>
      <c r="C1738" s="309">
        <v>42460</v>
      </c>
      <c r="D1738" s="308" t="s">
        <v>2922</v>
      </c>
      <c r="E1738" s="307">
        <v>1</v>
      </c>
      <c r="F1738" s="311">
        <v>320</v>
      </c>
      <c r="G1738" s="307">
        <v>91</v>
      </c>
    </row>
    <row r="1739" spans="1:7" x14ac:dyDescent="0.2">
      <c r="A1739" s="310" t="s">
        <v>1319</v>
      </c>
      <c r="B1739" s="310" t="s">
        <v>1361</v>
      </c>
      <c r="C1739" s="309">
        <v>42019</v>
      </c>
      <c r="D1739" s="308" t="s">
        <v>1532</v>
      </c>
      <c r="E1739" s="307">
        <v>1</v>
      </c>
      <c r="F1739" s="311">
        <v>100</v>
      </c>
      <c r="G1739" s="303">
        <f>97-(5)</f>
        <v>92</v>
      </c>
    </row>
    <row r="1740" spans="1:7" x14ac:dyDescent="0.2">
      <c r="A1740" s="310" t="s">
        <v>1319</v>
      </c>
      <c r="B1740" s="310" t="s">
        <v>1361</v>
      </c>
      <c r="C1740" s="309">
        <v>42019</v>
      </c>
      <c r="D1740" s="308" t="s">
        <v>1773</v>
      </c>
      <c r="E1740" s="307">
        <v>1</v>
      </c>
      <c r="F1740" s="311">
        <v>100</v>
      </c>
      <c r="G1740" s="303">
        <f>97-(5)</f>
        <v>92</v>
      </c>
    </row>
    <row r="1741" spans="1:7" x14ac:dyDescent="0.2">
      <c r="A1741" s="310" t="s">
        <v>1319</v>
      </c>
      <c r="B1741" s="310" t="s">
        <v>1373</v>
      </c>
      <c r="C1741" s="309">
        <v>42415</v>
      </c>
      <c r="D1741" s="308" t="s">
        <v>2063</v>
      </c>
      <c r="E1741" s="307">
        <v>1</v>
      </c>
      <c r="F1741" s="311">
        <v>120</v>
      </c>
      <c r="G1741" s="306">
        <f>99-(7)</f>
        <v>92</v>
      </c>
    </row>
    <row r="1742" spans="1:7" x14ac:dyDescent="0.2">
      <c r="A1742" s="310" t="s">
        <v>1319</v>
      </c>
      <c r="B1742" s="310" t="s">
        <v>1371</v>
      </c>
      <c r="C1742" s="309">
        <v>42476</v>
      </c>
      <c r="D1742" s="308" t="s">
        <v>2124</v>
      </c>
      <c r="E1742" s="307">
        <v>1</v>
      </c>
      <c r="F1742" s="311">
        <v>120</v>
      </c>
      <c r="G1742" s="306">
        <f>88+(4)</f>
        <v>92</v>
      </c>
    </row>
    <row r="1743" spans="1:7" x14ac:dyDescent="0.2">
      <c r="A1743" s="310" t="s">
        <v>1313</v>
      </c>
      <c r="B1743" s="310" t="s">
        <v>1373</v>
      </c>
      <c r="C1743" s="309">
        <v>42105</v>
      </c>
      <c r="D1743" s="308" t="s">
        <v>1600</v>
      </c>
      <c r="E1743" s="307">
        <v>1</v>
      </c>
      <c r="F1743" s="311">
        <v>200</v>
      </c>
      <c r="G1743" s="306">
        <f>99-(7)</f>
        <v>92</v>
      </c>
    </row>
    <row r="1744" spans="1:7" x14ac:dyDescent="0.2">
      <c r="A1744" s="310" t="s">
        <v>1313</v>
      </c>
      <c r="B1744" s="310" t="s">
        <v>1361</v>
      </c>
      <c r="C1744" s="309">
        <v>42636</v>
      </c>
      <c r="D1744" s="308" t="s">
        <v>2197</v>
      </c>
      <c r="E1744" s="307">
        <v>1</v>
      </c>
      <c r="F1744" s="311">
        <v>210</v>
      </c>
      <c r="G1744" s="303">
        <f>97-(5)</f>
        <v>92</v>
      </c>
    </row>
    <row r="1745" spans="1:7" x14ac:dyDescent="0.2">
      <c r="A1745" s="310" t="s">
        <v>1313</v>
      </c>
      <c r="B1745" s="310" t="s">
        <v>1361</v>
      </c>
      <c r="C1745" s="309">
        <v>42636</v>
      </c>
      <c r="D1745" s="308" t="s">
        <v>2216</v>
      </c>
      <c r="E1745" s="307">
        <v>1</v>
      </c>
      <c r="F1745" s="311">
        <v>210</v>
      </c>
      <c r="G1745" s="303">
        <f>97-(5)</f>
        <v>92</v>
      </c>
    </row>
    <row r="1746" spans="1:7" x14ac:dyDescent="0.2">
      <c r="A1746" s="310" t="s">
        <v>1374</v>
      </c>
      <c r="B1746" s="310" t="s">
        <v>1369</v>
      </c>
      <c r="C1746" s="309">
        <v>42227</v>
      </c>
      <c r="D1746" s="308" t="s">
        <v>1964</v>
      </c>
      <c r="E1746" s="307">
        <v>1</v>
      </c>
      <c r="F1746" s="311">
        <v>300</v>
      </c>
      <c r="G1746" s="307">
        <v>92</v>
      </c>
    </row>
    <row r="1747" spans="1:7" x14ac:dyDescent="0.2">
      <c r="A1747" s="310" t="s">
        <v>1372</v>
      </c>
      <c r="B1747" s="310" t="s">
        <v>1363</v>
      </c>
      <c r="C1747" s="309">
        <v>42271</v>
      </c>
      <c r="D1747" s="308" t="s">
        <v>1900</v>
      </c>
      <c r="E1747" s="307">
        <v>1</v>
      </c>
      <c r="F1747" s="311">
        <v>300</v>
      </c>
      <c r="G1747" s="307">
        <v>92</v>
      </c>
    </row>
    <row r="1748" spans="1:7" x14ac:dyDescent="0.2">
      <c r="A1748" s="310" t="s">
        <v>1372</v>
      </c>
      <c r="B1748" s="310" t="s">
        <v>1363</v>
      </c>
      <c r="C1748" s="309">
        <v>42685</v>
      </c>
      <c r="D1748" s="308" t="s">
        <v>2326</v>
      </c>
      <c r="E1748" s="307">
        <v>1</v>
      </c>
      <c r="F1748" s="311">
        <v>310</v>
      </c>
      <c r="G1748" s="307">
        <v>92</v>
      </c>
    </row>
    <row r="1749" spans="1:7" x14ac:dyDescent="0.2">
      <c r="A1749" s="310" t="s">
        <v>1370</v>
      </c>
      <c r="B1749" s="310" t="s">
        <v>1361</v>
      </c>
      <c r="C1749" s="309">
        <v>42036</v>
      </c>
      <c r="D1749" s="308" t="s">
        <v>1400</v>
      </c>
      <c r="E1749" s="307">
        <v>1</v>
      </c>
      <c r="F1749" s="311">
        <v>500</v>
      </c>
      <c r="G1749" s="303">
        <f>97-(5)</f>
        <v>92</v>
      </c>
    </row>
    <row r="1750" spans="1:7" x14ac:dyDescent="0.2">
      <c r="A1750" s="310" t="s">
        <v>1370</v>
      </c>
      <c r="B1750" s="310" t="s">
        <v>1373</v>
      </c>
      <c r="C1750" s="309">
        <v>42288</v>
      </c>
      <c r="D1750" s="308" t="s">
        <v>1709</v>
      </c>
      <c r="E1750" s="307">
        <v>1</v>
      </c>
      <c r="F1750" s="311">
        <v>500</v>
      </c>
      <c r="G1750" s="306">
        <f>99-(7)</f>
        <v>92</v>
      </c>
    </row>
    <row r="1751" spans="1:7" x14ac:dyDescent="0.2">
      <c r="A1751" s="310" t="s">
        <v>1368</v>
      </c>
      <c r="B1751" s="310" t="s">
        <v>1367</v>
      </c>
      <c r="C1751" s="309">
        <v>42068</v>
      </c>
      <c r="D1751" s="308" t="s">
        <v>1821</v>
      </c>
      <c r="E1751" s="307">
        <v>1</v>
      </c>
      <c r="F1751" s="311">
        <v>200</v>
      </c>
      <c r="G1751" s="306">
        <v>92</v>
      </c>
    </row>
    <row r="1752" spans="1:7" x14ac:dyDescent="0.2">
      <c r="A1752" s="310" t="s">
        <v>1368</v>
      </c>
      <c r="B1752" s="310" t="s">
        <v>1367</v>
      </c>
      <c r="C1752" s="309">
        <v>42170</v>
      </c>
      <c r="D1752" s="308" t="s">
        <v>1778</v>
      </c>
      <c r="E1752" s="307">
        <v>1</v>
      </c>
      <c r="F1752" s="311">
        <v>200</v>
      </c>
      <c r="G1752" s="306">
        <v>92</v>
      </c>
    </row>
    <row r="1753" spans="1:7" x14ac:dyDescent="0.2">
      <c r="A1753" s="310" t="s">
        <v>1368</v>
      </c>
      <c r="B1753" s="310" t="s">
        <v>1371</v>
      </c>
      <c r="C1753" s="309">
        <v>42323</v>
      </c>
      <c r="D1753" s="308" t="s">
        <v>1882</v>
      </c>
      <c r="E1753" s="307">
        <v>1</v>
      </c>
      <c r="F1753" s="311">
        <v>200</v>
      </c>
      <c r="G1753" s="306">
        <f>88+(4)</f>
        <v>92</v>
      </c>
    </row>
    <row r="1754" spans="1:7" x14ac:dyDescent="0.2">
      <c r="A1754" s="310" t="s">
        <v>1368</v>
      </c>
      <c r="B1754" s="310" t="s">
        <v>1371</v>
      </c>
      <c r="C1754" s="309">
        <v>42323</v>
      </c>
      <c r="D1754" s="308" t="s">
        <v>1457</v>
      </c>
      <c r="E1754" s="307">
        <v>1</v>
      </c>
      <c r="F1754" s="311">
        <v>200</v>
      </c>
      <c r="G1754" s="306">
        <f>88+(4)</f>
        <v>92</v>
      </c>
    </row>
    <row r="1755" spans="1:7" x14ac:dyDescent="0.2">
      <c r="A1755" s="310" t="s">
        <v>1368</v>
      </c>
      <c r="B1755" s="310" t="s">
        <v>1371</v>
      </c>
      <c r="C1755" s="309">
        <v>42323</v>
      </c>
      <c r="D1755" s="308" t="s">
        <v>1665</v>
      </c>
      <c r="E1755" s="307">
        <v>1</v>
      </c>
      <c r="F1755" s="311">
        <v>200</v>
      </c>
      <c r="G1755" s="306">
        <f>88+(4)</f>
        <v>92</v>
      </c>
    </row>
    <row r="1756" spans="1:7" x14ac:dyDescent="0.2">
      <c r="A1756" s="310" t="s">
        <v>1368</v>
      </c>
      <c r="B1756" s="310" t="s">
        <v>1371</v>
      </c>
      <c r="C1756" s="309">
        <v>42340</v>
      </c>
      <c r="D1756" s="308" t="s">
        <v>1849</v>
      </c>
      <c r="E1756" s="307">
        <v>1</v>
      </c>
      <c r="F1756" s="311">
        <v>200</v>
      </c>
      <c r="G1756" s="306">
        <f>88+(4)</f>
        <v>92</v>
      </c>
    </row>
    <row r="1757" spans="1:7" x14ac:dyDescent="0.2">
      <c r="A1757" s="310" t="s">
        <v>1368</v>
      </c>
      <c r="B1757" s="310" t="s">
        <v>1367</v>
      </c>
      <c r="C1757" s="309">
        <v>42453</v>
      </c>
      <c r="D1757" s="308" t="s">
        <v>2484</v>
      </c>
      <c r="E1757" s="307">
        <v>1</v>
      </c>
      <c r="F1757" s="311">
        <v>200</v>
      </c>
      <c r="G1757" s="306">
        <v>92</v>
      </c>
    </row>
    <row r="1758" spans="1:7" x14ac:dyDescent="0.2">
      <c r="A1758" s="310" t="s">
        <v>1368</v>
      </c>
      <c r="B1758" s="310" t="s">
        <v>1367</v>
      </c>
      <c r="C1758" s="309">
        <v>42505</v>
      </c>
      <c r="D1758" s="308" t="s">
        <v>2554</v>
      </c>
      <c r="E1758" s="307">
        <v>1</v>
      </c>
      <c r="F1758" s="311">
        <v>200</v>
      </c>
      <c r="G1758" s="306">
        <v>92</v>
      </c>
    </row>
    <row r="1759" spans="1:7" x14ac:dyDescent="0.2">
      <c r="A1759" s="310" t="s">
        <v>1368</v>
      </c>
      <c r="B1759" s="310" t="s">
        <v>1367</v>
      </c>
      <c r="C1759" s="309">
        <v>42563</v>
      </c>
      <c r="D1759" s="308" t="s">
        <v>2230</v>
      </c>
      <c r="E1759" s="307">
        <v>1</v>
      </c>
      <c r="F1759" s="311">
        <v>200</v>
      </c>
      <c r="G1759" s="306">
        <v>92</v>
      </c>
    </row>
    <row r="1760" spans="1:7" x14ac:dyDescent="0.2">
      <c r="A1760" s="310" t="s">
        <v>1368</v>
      </c>
      <c r="B1760" s="310" t="s">
        <v>1367</v>
      </c>
      <c r="C1760" s="309">
        <v>42627</v>
      </c>
      <c r="D1760" s="308" t="s">
        <v>2642</v>
      </c>
      <c r="E1760" s="307">
        <v>1</v>
      </c>
      <c r="F1760" s="311">
        <v>200</v>
      </c>
      <c r="G1760" s="306">
        <v>92</v>
      </c>
    </row>
    <row r="1761" spans="1:7" x14ac:dyDescent="0.2">
      <c r="A1761" s="310" t="s">
        <v>1366</v>
      </c>
      <c r="B1761" s="310" t="s">
        <v>1376</v>
      </c>
      <c r="C1761" s="309">
        <v>42259</v>
      </c>
      <c r="D1761" s="308" t="s">
        <v>1744</v>
      </c>
      <c r="E1761" s="307">
        <v>1</v>
      </c>
      <c r="F1761" s="311">
        <v>350</v>
      </c>
      <c r="G1761" s="306">
        <v>92</v>
      </c>
    </row>
    <row r="1762" spans="1:7" x14ac:dyDescent="0.2">
      <c r="A1762" s="310" t="s">
        <v>1366</v>
      </c>
      <c r="B1762" s="310" t="s">
        <v>1376</v>
      </c>
      <c r="C1762" s="309">
        <v>42259</v>
      </c>
      <c r="D1762" s="308" t="s">
        <v>1737</v>
      </c>
      <c r="E1762" s="307">
        <v>1</v>
      </c>
      <c r="F1762" s="311">
        <v>350</v>
      </c>
      <c r="G1762" s="306">
        <v>92</v>
      </c>
    </row>
    <row r="1763" spans="1:7" x14ac:dyDescent="0.2">
      <c r="A1763" s="310" t="s">
        <v>1366</v>
      </c>
      <c r="B1763" s="310" t="s">
        <v>1376</v>
      </c>
      <c r="C1763" s="309">
        <v>42562</v>
      </c>
      <c r="D1763" s="308" t="s">
        <v>2697</v>
      </c>
      <c r="E1763" s="307">
        <v>1</v>
      </c>
      <c r="F1763" s="311">
        <v>380</v>
      </c>
      <c r="G1763" s="306">
        <v>92</v>
      </c>
    </row>
    <row r="1764" spans="1:7" x14ac:dyDescent="0.2">
      <c r="A1764" s="310" t="s">
        <v>1364</v>
      </c>
      <c r="B1764" s="310" t="s">
        <v>1371</v>
      </c>
      <c r="C1764" s="309">
        <v>42265</v>
      </c>
      <c r="D1764" s="308" t="s">
        <v>1460</v>
      </c>
      <c r="E1764" s="307">
        <v>1</v>
      </c>
      <c r="F1764" s="311">
        <v>600</v>
      </c>
      <c r="G1764" s="306">
        <f>88+(4)</f>
        <v>92</v>
      </c>
    </row>
    <row r="1765" spans="1:7" x14ac:dyDescent="0.2">
      <c r="A1765" s="310" t="s">
        <v>1364</v>
      </c>
      <c r="B1765" s="310" t="s">
        <v>1367</v>
      </c>
      <c r="C1765" s="309">
        <v>42638</v>
      </c>
      <c r="D1765" s="308" t="s">
        <v>2766</v>
      </c>
      <c r="E1765" s="307">
        <v>1</v>
      </c>
      <c r="F1765" s="311">
        <v>650</v>
      </c>
      <c r="G1765" s="306">
        <v>92</v>
      </c>
    </row>
    <row r="1766" spans="1:7" x14ac:dyDescent="0.2">
      <c r="A1766" s="310" t="s">
        <v>1364</v>
      </c>
      <c r="B1766" s="310" t="s">
        <v>1367</v>
      </c>
      <c r="C1766" s="309">
        <v>42638</v>
      </c>
      <c r="D1766" s="308" t="s">
        <v>2775</v>
      </c>
      <c r="E1766" s="307">
        <v>1</v>
      </c>
      <c r="F1766" s="311">
        <v>650</v>
      </c>
      <c r="G1766" s="306">
        <v>92</v>
      </c>
    </row>
    <row r="1767" spans="1:7" x14ac:dyDescent="0.2">
      <c r="A1767" s="310" t="s">
        <v>1364</v>
      </c>
      <c r="B1767" s="310" t="s">
        <v>1367</v>
      </c>
      <c r="C1767" s="309">
        <v>42638</v>
      </c>
      <c r="D1767" s="308" t="s">
        <v>2762</v>
      </c>
      <c r="E1767" s="307">
        <v>1</v>
      </c>
      <c r="F1767" s="311">
        <v>650</v>
      </c>
      <c r="G1767" s="306">
        <v>92</v>
      </c>
    </row>
    <row r="1768" spans="1:7" x14ac:dyDescent="0.2">
      <c r="A1768" s="310" t="s">
        <v>1364</v>
      </c>
      <c r="B1768" s="310" t="s">
        <v>1367</v>
      </c>
      <c r="C1768" s="309">
        <v>42638</v>
      </c>
      <c r="D1768" s="308" t="s">
        <v>2747</v>
      </c>
      <c r="E1768" s="307">
        <v>1</v>
      </c>
      <c r="F1768" s="311">
        <v>650</v>
      </c>
      <c r="G1768" s="306">
        <v>92</v>
      </c>
    </row>
    <row r="1769" spans="1:7" x14ac:dyDescent="0.2">
      <c r="A1769" s="310" t="s">
        <v>1359</v>
      </c>
      <c r="B1769" s="310" t="s">
        <v>1363</v>
      </c>
      <c r="C1769" s="309">
        <v>42064</v>
      </c>
      <c r="D1769" s="308" t="s">
        <v>1527</v>
      </c>
      <c r="E1769" s="307">
        <v>1</v>
      </c>
      <c r="F1769" s="311">
        <v>400</v>
      </c>
      <c r="G1769" s="307">
        <v>92</v>
      </c>
    </row>
    <row r="1770" spans="1:7" x14ac:dyDescent="0.2">
      <c r="A1770" s="310" t="s">
        <v>1359</v>
      </c>
      <c r="B1770" s="310" t="s">
        <v>1363</v>
      </c>
      <c r="C1770" s="309">
        <v>42064</v>
      </c>
      <c r="D1770" s="308" t="s">
        <v>1516</v>
      </c>
      <c r="E1770" s="307">
        <v>1</v>
      </c>
      <c r="F1770" s="311">
        <v>400</v>
      </c>
      <c r="G1770" s="307">
        <v>92</v>
      </c>
    </row>
    <row r="1771" spans="1:7" x14ac:dyDescent="0.2">
      <c r="A1771" s="310" t="s">
        <v>1359</v>
      </c>
      <c r="B1771" s="310" t="s">
        <v>1363</v>
      </c>
      <c r="C1771" s="309">
        <v>42064</v>
      </c>
      <c r="D1771" s="308" t="s">
        <v>1501</v>
      </c>
      <c r="E1771" s="307">
        <v>1</v>
      </c>
      <c r="F1771" s="311">
        <v>400</v>
      </c>
      <c r="G1771" s="307">
        <v>92</v>
      </c>
    </row>
    <row r="1772" spans="1:7" x14ac:dyDescent="0.2">
      <c r="A1772" s="310" t="s">
        <v>1359</v>
      </c>
      <c r="B1772" s="310" t="s">
        <v>1363</v>
      </c>
      <c r="C1772" s="309">
        <v>42424</v>
      </c>
      <c r="D1772" s="308" t="s">
        <v>2990</v>
      </c>
      <c r="E1772" s="307">
        <v>1</v>
      </c>
      <c r="F1772" s="311">
        <v>400</v>
      </c>
      <c r="G1772" s="307">
        <v>92</v>
      </c>
    </row>
    <row r="1773" spans="1:7" x14ac:dyDescent="0.2">
      <c r="A1773" s="310" t="s">
        <v>1359</v>
      </c>
      <c r="B1773" s="310" t="s">
        <v>1363</v>
      </c>
      <c r="C1773" s="309">
        <v>42623</v>
      </c>
      <c r="D1773" s="308" t="s">
        <v>2994</v>
      </c>
      <c r="E1773" s="307">
        <v>1</v>
      </c>
      <c r="F1773" s="311">
        <v>400</v>
      </c>
      <c r="G1773" s="307">
        <v>92</v>
      </c>
    </row>
    <row r="1774" spans="1:7" x14ac:dyDescent="0.2">
      <c r="A1774" s="310" t="s">
        <v>1358</v>
      </c>
      <c r="B1774" s="310" t="s">
        <v>1375</v>
      </c>
      <c r="C1774" s="309">
        <v>42460</v>
      </c>
      <c r="D1774" s="308" t="s">
        <v>3021</v>
      </c>
      <c r="E1774" s="307">
        <v>1</v>
      </c>
      <c r="F1774" s="311">
        <v>320</v>
      </c>
      <c r="G1774" s="307">
        <v>92</v>
      </c>
    </row>
    <row r="1775" spans="1:7" x14ac:dyDescent="0.2">
      <c r="A1775" s="310" t="s">
        <v>1319</v>
      </c>
      <c r="B1775" s="310" t="s">
        <v>1361</v>
      </c>
      <c r="C1775" s="309">
        <v>42019</v>
      </c>
      <c r="D1775" s="308" t="s">
        <v>1831</v>
      </c>
      <c r="E1775" s="307">
        <v>1</v>
      </c>
      <c r="F1775" s="311">
        <v>100</v>
      </c>
      <c r="G1775" s="303">
        <f>98-(5)</f>
        <v>93</v>
      </c>
    </row>
    <row r="1776" spans="1:7" x14ac:dyDescent="0.2">
      <c r="A1776" s="310" t="s">
        <v>1319</v>
      </c>
      <c r="B1776" s="310" t="s">
        <v>1361</v>
      </c>
      <c r="C1776" s="309">
        <v>42019</v>
      </c>
      <c r="D1776" s="308" t="s">
        <v>1989</v>
      </c>
      <c r="E1776" s="307">
        <v>1</v>
      </c>
      <c r="F1776" s="311">
        <v>100</v>
      </c>
      <c r="G1776" s="303">
        <f>98-(5)</f>
        <v>93</v>
      </c>
    </row>
    <row r="1777" spans="1:7" x14ac:dyDescent="0.2">
      <c r="A1777" s="310" t="s">
        <v>1319</v>
      </c>
      <c r="B1777" s="310" t="s">
        <v>1367</v>
      </c>
      <c r="C1777" s="309">
        <v>42332</v>
      </c>
      <c r="D1777" s="308" t="s">
        <v>1799</v>
      </c>
      <c r="E1777" s="307">
        <v>1</v>
      </c>
      <c r="F1777" s="311">
        <v>100</v>
      </c>
      <c r="G1777" s="306">
        <v>93</v>
      </c>
    </row>
    <row r="1778" spans="1:7" x14ac:dyDescent="0.2">
      <c r="A1778" s="310" t="s">
        <v>1319</v>
      </c>
      <c r="B1778" s="310" t="s">
        <v>1373</v>
      </c>
      <c r="C1778" s="309">
        <v>42415</v>
      </c>
      <c r="D1778" s="308" t="s">
        <v>2055</v>
      </c>
      <c r="E1778" s="307">
        <v>1</v>
      </c>
      <c r="F1778" s="311">
        <v>120</v>
      </c>
      <c r="G1778" s="306">
        <f>100-(7)</f>
        <v>93</v>
      </c>
    </row>
    <row r="1779" spans="1:7" x14ac:dyDescent="0.2">
      <c r="A1779" s="310" t="s">
        <v>1374</v>
      </c>
      <c r="B1779" s="310" t="s">
        <v>1369</v>
      </c>
      <c r="C1779" s="309">
        <v>42227</v>
      </c>
      <c r="D1779" s="308" t="s">
        <v>1968</v>
      </c>
      <c r="E1779" s="307">
        <v>1</v>
      </c>
      <c r="F1779" s="311">
        <v>300</v>
      </c>
      <c r="G1779" s="307">
        <v>93</v>
      </c>
    </row>
    <row r="1780" spans="1:7" x14ac:dyDescent="0.2">
      <c r="A1780" s="310" t="s">
        <v>1370</v>
      </c>
      <c r="B1780" s="310" t="s">
        <v>1361</v>
      </c>
      <c r="C1780" s="309">
        <v>42447</v>
      </c>
      <c r="D1780" s="308" t="s">
        <v>2390</v>
      </c>
      <c r="E1780" s="307">
        <v>1</v>
      </c>
      <c r="F1780" s="311">
        <v>500</v>
      </c>
      <c r="G1780" s="303">
        <f>98-(5)</f>
        <v>93</v>
      </c>
    </row>
    <row r="1781" spans="1:7" x14ac:dyDescent="0.2">
      <c r="A1781" s="310" t="s">
        <v>1368</v>
      </c>
      <c r="B1781" s="310" t="s">
        <v>1371</v>
      </c>
      <c r="C1781" s="309">
        <v>42323</v>
      </c>
      <c r="D1781" s="308" t="s">
        <v>1434</v>
      </c>
      <c r="E1781" s="307">
        <v>1</v>
      </c>
      <c r="F1781" s="311">
        <v>200</v>
      </c>
      <c r="G1781" s="306">
        <f>89+(4)</f>
        <v>93</v>
      </c>
    </row>
    <row r="1782" spans="1:7" x14ac:dyDescent="0.2">
      <c r="A1782" s="310" t="s">
        <v>1368</v>
      </c>
      <c r="B1782" s="310" t="s">
        <v>1371</v>
      </c>
      <c r="C1782" s="309">
        <v>42323</v>
      </c>
      <c r="D1782" s="308" t="s">
        <v>1560</v>
      </c>
      <c r="E1782" s="307">
        <v>1</v>
      </c>
      <c r="F1782" s="311">
        <v>200</v>
      </c>
      <c r="G1782" s="306">
        <f>89+(4)</f>
        <v>93</v>
      </c>
    </row>
    <row r="1783" spans="1:7" x14ac:dyDescent="0.2">
      <c r="A1783" s="310" t="s">
        <v>1368</v>
      </c>
      <c r="B1783" s="310" t="s">
        <v>1371</v>
      </c>
      <c r="C1783" s="309">
        <v>42340</v>
      </c>
      <c r="D1783" s="308" t="s">
        <v>1688</v>
      </c>
      <c r="E1783" s="307">
        <v>1</v>
      </c>
      <c r="F1783" s="311">
        <v>200</v>
      </c>
      <c r="G1783" s="306">
        <f>89+(4)</f>
        <v>93</v>
      </c>
    </row>
    <row r="1784" spans="1:7" x14ac:dyDescent="0.2">
      <c r="A1784" s="310" t="s">
        <v>1368</v>
      </c>
      <c r="B1784" s="310" t="s">
        <v>1371</v>
      </c>
      <c r="C1784" s="309">
        <v>42340</v>
      </c>
      <c r="D1784" s="308" t="s">
        <v>1845</v>
      </c>
      <c r="E1784" s="307">
        <v>1</v>
      </c>
      <c r="F1784" s="311">
        <v>200</v>
      </c>
      <c r="G1784" s="306">
        <f>89+(4)</f>
        <v>93</v>
      </c>
    </row>
    <row r="1785" spans="1:7" x14ac:dyDescent="0.2">
      <c r="A1785" s="310" t="s">
        <v>1368</v>
      </c>
      <c r="B1785" s="310" t="s">
        <v>1367</v>
      </c>
      <c r="C1785" s="309">
        <v>42505</v>
      </c>
      <c r="D1785" s="308" t="s">
        <v>2548</v>
      </c>
      <c r="E1785" s="307">
        <v>1</v>
      </c>
      <c r="F1785" s="311">
        <v>200</v>
      </c>
      <c r="G1785" s="306">
        <v>93</v>
      </c>
    </row>
    <row r="1786" spans="1:7" x14ac:dyDescent="0.2">
      <c r="A1786" s="310" t="s">
        <v>1368</v>
      </c>
      <c r="B1786" s="310" t="s">
        <v>1367</v>
      </c>
      <c r="C1786" s="309">
        <v>42545</v>
      </c>
      <c r="D1786" s="308" t="s">
        <v>2577</v>
      </c>
      <c r="E1786" s="307">
        <v>1</v>
      </c>
      <c r="F1786" s="311">
        <v>200</v>
      </c>
      <c r="G1786" s="306">
        <v>93</v>
      </c>
    </row>
    <row r="1787" spans="1:7" x14ac:dyDescent="0.2">
      <c r="A1787" s="310" t="s">
        <v>1364</v>
      </c>
      <c r="B1787" s="310" t="s">
        <v>1371</v>
      </c>
      <c r="C1787" s="309">
        <v>42430</v>
      </c>
      <c r="D1787" s="308" t="s">
        <v>2717</v>
      </c>
      <c r="E1787" s="307">
        <v>1</v>
      </c>
      <c r="F1787" s="311">
        <v>650</v>
      </c>
      <c r="G1787" s="306">
        <f>89+(4)</f>
        <v>93</v>
      </c>
    </row>
    <row r="1788" spans="1:7" x14ac:dyDescent="0.2">
      <c r="A1788" s="310" t="s">
        <v>1364</v>
      </c>
      <c r="B1788" s="310" t="s">
        <v>1367</v>
      </c>
      <c r="C1788" s="309">
        <v>42638</v>
      </c>
      <c r="D1788" s="308" t="s">
        <v>2754</v>
      </c>
      <c r="E1788" s="307">
        <v>1</v>
      </c>
      <c r="F1788" s="311">
        <v>650</v>
      </c>
      <c r="G1788" s="306">
        <v>93</v>
      </c>
    </row>
    <row r="1789" spans="1:7" x14ac:dyDescent="0.2">
      <c r="A1789" s="310" t="s">
        <v>1364</v>
      </c>
      <c r="B1789" s="310" t="s">
        <v>1367</v>
      </c>
      <c r="C1789" s="309">
        <v>42638</v>
      </c>
      <c r="D1789" s="308" t="s">
        <v>2798</v>
      </c>
      <c r="E1789" s="307">
        <v>1</v>
      </c>
      <c r="F1789" s="311">
        <v>650</v>
      </c>
      <c r="G1789" s="306">
        <v>93</v>
      </c>
    </row>
    <row r="1790" spans="1:7" x14ac:dyDescent="0.2">
      <c r="A1790" s="310" t="s">
        <v>1359</v>
      </c>
      <c r="B1790" s="310" t="s">
        <v>1363</v>
      </c>
      <c r="C1790" s="309">
        <v>42064</v>
      </c>
      <c r="D1790" s="308" t="s">
        <v>1522</v>
      </c>
      <c r="E1790" s="307">
        <v>1</v>
      </c>
      <c r="F1790" s="311">
        <v>400</v>
      </c>
      <c r="G1790" s="307">
        <v>93</v>
      </c>
    </row>
    <row r="1791" spans="1:7" x14ac:dyDescent="0.2">
      <c r="A1791" s="310" t="s">
        <v>1359</v>
      </c>
      <c r="B1791" s="310" t="s">
        <v>1363</v>
      </c>
      <c r="C1791" s="309">
        <v>42064</v>
      </c>
      <c r="D1791" s="308" t="s">
        <v>1517</v>
      </c>
      <c r="E1791" s="307">
        <v>1</v>
      </c>
      <c r="F1791" s="311">
        <v>400</v>
      </c>
      <c r="G1791" s="307">
        <v>93</v>
      </c>
    </row>
    <row r="1792" spans="1:7" x14ac:dyDescent="0.2">
      <c r="A1792" s="310" t="s">
        <v>1319</v>
      </c>
      <c r="B1792" s="310" t="s">
        <v>1361</v>
      </c>
      <c r="C1792" s="309">
        <v>42019</v>
      </c>
      <c r="D1792" s="308" t="s">
        <v>1591</v>
      </c>
      <c r="E1792" s="307">
        <v>1</v>
      </c>
      <c r="F1792" s="311">
        <v>100</v>
      </c>
      <c r="G1792" s="303">
        <f>99-(5)</f>
        <v>94</v>
      </c>
    </row>
    <row r="1793" spans="1:7" x14ac:dyDescent="0.2">
      <c r="A1793" s="310" t="s">
        <v>1319</v>
      </c>
      <c r="B1793" s="310" t="s">
        <v>1371</v>
      </c>
      <c r="C1793" s="309">
        <v>42476</v>
      </c>
      <c r="D1793" s="308" t="s">
        <v>2090</v>
      </c>
      <c r="E1793" s="307">
        <v>1</v>
      </c>
      <c r="F1793" s="311">
        <v>120</v>
      </c>
      <c r="G1793" s="306">
        <f>90+(4)</f>
        <v>94</v>
      </c>
    </row>
    <row r="1794" spans="1:7" x14ac:dyDescent="0.2">
      <c r="A1794" s="310" t="s">
        <v>1319</v>
      </c>
      <c r="B1794" s="310" t="s">
        <v>1371</v>
      </c>
      <c r="C1794" s="309">
        <v>42476</v>
      </c>
      <c r="D1794" s="308" t="s">
        <v>2107</v>
      </c>
      <c r="E1794" s="307">
        <v>1</v>
      </c>
      <c r="F1794" s="311">
        <v>120</v>
      </c>
      <c r="G1794" s="306">
        <f>90+(4)</f>
        <v>94</v>
      </c>
    </row>
    <row r="1795" spans="1:7" x14ac:dyDescent="0.2">
      <c r="A1795" s="310" t="s">
        <v>1313</v>
      </c>
      <c r="B1795" s="310" t="s">
        <v>1361</v>
      </c>
      <c r="C1795" s="309">
        <v>42177</v>
      </c>
      <c r="D1795" s="308" t="s">
        <v>1459</v>
      </c>
      <c r="E1795" s="307">
        <v>1</v>
      </c>
      <c r="F1795" s="311">
        <v>200</v>
      </c>
      <c r="G1795" s="303">
        <f>99-(5)</f>
        <v>94</v>
      </c>
    </row>
    <row r="1796" spans="1:7" x14ac:dyDescent="0.2">
      <c r="A1796" s="310" t="s">
        <v>1313</v>
      </c>
      <c r="B1796" s="310" t="s">
        <v>1361</v>
      </c>
      <c r="C1796" s="309">
        <v>42177</v>
      </c>
      <c r="D1796" s="308" t="s">
        <v>1710</v>
      </c>
      <c r="E1796" s="307">
        <v>1</v>
      </c>
      <c r="F1796" s="311">
        <v>200</v>
      </c>
      <c r="G1796" s="303">
        <f>99-(5)</f>
        <v>94</v>
      </c>
    </row>
    <row r="1797" spans="1:7" x14ac:dyDescent="0.2">
      <c r="A1797" s="310" t="s">
        <v>1374</v>
      </c>
      <c r="B1797" s="310" t="s">
        <v>1369</v>
      </c>
      <c r="C1797" s="309">
        <v>42227</v>
      </c>
      <c r="D1797" s="308" t="s">
        <v>1962</v>
      </c>
      <c r="E1797" s="307">
        <v>1</v>
      </c>
      <c r="F1797" s="311">
        <v>300</v>
      </c>
      <c r="G1797" s="307">
        <v>94</v>
      </c>
    </row>
    <row r="1798" spans="1:7" x14ac:dyDescent="0.2">
      <c r="A1798" s="310" t="s">
        <v>1372</v>
      </c>
      <c r="B1798" s="310" t="s">
        <v>1363</v>
      </c>
      <c r="C1798" s="309">
        <v>42271</v>
      </c>
      <c r="D1798" s="308" t="s">
        <v>1943</v>
      </c>
      <c r="E1798" s="307">
        <v>1</v>
      </c>
      <c r="F1798" s="311">
        <v>300</v>
      </c>
      <c r="G1798" s="307">
        <v>94</v>
      </c>
    </row>
    <row r="1799" spans="1:7" x14ac:dyDescent="0.2">
      <c r="A1799" s="310" t="s">
        <v>1372</v>
      </c>
      <c r="B1799" s="310" t="s">
        <v>1363</v>
      </c>
      <c r="C1799" s="309">
        <v>42685</v>
      </c>
      <c r="D1799" s="308" t="s">
        <v>2319</v>
      </c>
      <c r="E1799" s="307">
        <v>1</v>
      </c>
      <c r="F1799" s="311">
        <v>310</v>
      </c>
      <c r="G1799" s="307">
        <v>94</v>
      </c>
    </row>
    <row r="1800" spans="1:7" x14ac:dyDescent="0.2">
      <c r="A1800" s="310" t="s">
        <v>1372</v>
      </c>
      <c r="B1800" s="310" t="s">
        <v>1363</v>
      </c>
      <c r="C1800" s="309">
        <v>42685</v>
      </c>
      <c r="D1800" s="308" t="s">
        <v>2318</v>
      </c>
      <c r="E1800" s="307">
        <v>1</v>
      </c>
      <c r="F1800" s="311">
        <v>310</v>
      </c>
      <c r="G1800" s="307">
        <v>94</v>
      </c>
    </row>
    <row r="1801" spans="1:7" x14ac:dyDescent="0.2">
      <c r="A1801" s="310" t="s">
        <v>1372</v>
      </c>
      <c r="B1801" s="310" t="s">
        <v>1363</v>
      </c>
      <c r="C1801" s="309">
        <v>42685</v>
      </c>
      <c r="D1801" s="308" t="s">
        <v>2317</v>
      </c>
      <c r="E1801" s="307">
        <v>1</v>
      </c>
      <c r="F1801" s="311">
        <v>310</v>
      </c>
      <c r="G1801" s="307">
        <v>94</v>
      </c>
    </row>
    <row r="1802" spans="1:7" x14ac:dyDescent="0.2">
      <c r="A1802" s="310" t="s">
        <v>1372</v>
      </c>
      <c r="B1802" s="310" t="s">
        <v>1363</v>
      </c>
      <c r="C1802" s="309">
        <v>42685</v>
      </c>
      <c r="D1802" s="308" t="s">
        <v>2307</v>
      </c>
      <c r="E1802" s="307">
        <v>1</v>
      </c>
      <c r="F1802" s="311">
        <v>310</v>
      </c>
      <c r="G1802" s="307">
        <v>94</v>
      </c>
    </row>
    <row r="1803" spans="1:7" x14ac:dyDescent="0.2">
      <c r="A1803" s="310" t="s">
        <v>1368</v>
      </c>
      <c r="B1803" s="310" t="s">
        <v>1367</v>
      </c>
      <c r="C1803" s="309">
        <v>42170</v>
      </c>
      <c r="D1803" s="308" t="s">
        <v>1691</v>
      </c>
      <c r="E1803" s="307">
        <v>1</v>
      </c>
      <c r="F1803" s="311">
        <v>200</v>
      </c>
      <c r="G1803" s="306">
        <v>94</v>
      </c>
    </row>
    <row r="1804" spans="1:7" x14ac:dyDescent="0.2">
      <c r="A1804" s="310" t="s">
        <v>1368</v>
      </c>
      <c r="B1804" s="310" t="s">
        <v>1367</v>
      </c>
      <c r="C1804" s="309">
        <v>42282</v>
      </c>
      <c r="D1804" s="308" t="s">
        <v>1769</v>
      </c>
      <c r="E1804" s="307">
        <v>1</v>
      </c>
      <c r="F1804" s="311">
        <v>200</v>
      </c>
      <c r="G1804" s="306">
        <v>94</v>
      </c>
    </row>
    <row r="1805" spans="1:7" x14ac:dyDescent="0.2">
      <c r="A1805" s="310" t="s">
        <v>1368</v>
      </c>
      <c r="B1805" s="310" t="s">
        <v>1367</v>
      </c>
      <c r="C1805" s="309">
        <v>42282</v>
      </c>
      <c r="D1805" s="308" t="s">
        <v>1766</v>
      </c>
      <c r="E1805" s="307">
        <v>1</v>
      </c>
      <c r="F1805" s="311">
        <v>200</v>
      </c>
      <c r="G1805" s="306">
        <v>94</v>
      </c>
    </row>
    <row r="1806" spans="1:7" x14ac:dyDescent="0.2">
      <c r="A1806" s="310" t="s">
        <v>1368</v>
      </c>
      <c r="B1806" s="310" t="s">
        <v>1371</v>
      </c>
      <c r="C1806" s="309">
        <v>42412</v>
      </c>
      <c r="D1806" s="308" t="s">
        <v>2423</v>
      </c>
      <c r="E1806" s="307">
        <v>1</v>
      </c>
      <c r="F1806" s="311">
        <v>200</v>
      </c>
      <c r="G1806" s="306">
        <f>90+(4)</f>
        <v>94</v>
      </c>
    </row>
    <row r="1807" spans="1:7" x14ac:dyDescent="0.2">
      <c r="A1807" s="310" t="s">
        <v>1368</v>
      </c>
      <c r="B1807" s="310" t="s">
        <v>1371</v>
      </c>
      <c r="C1807" s="309">
        <v>42412</v>
      </c>
      <c r="D1807" s="308" t="s">
        <v>2445</v>
      </c>
      <c r="E1807" s="307">
        <v>1</v>
      </c>
      <c r="F1807" s="311">
        <v>200</v>
      </c>
      <c r="G1807" s="306">
        <f>90+(4)</f>
        <v>94</v>
      </c>
    </row>
    <row r="1808" spans="1:7" x14ac:dyDescent="0.2">
      <c r="A1808" s="310" t="s">
        <v>1368</v>
      </c>
      <c r="B1808" s="310" t="s">
        <v>1367</v>
      </c>
      <c r="C1808" s="309">
        <v>42490</v>
      </c>
      <c r="D1808" s="308" t="s">
        <v>2522</v>
      </c>
      <c r="E1808" s="307">
        <v>1</v>
      </c>
      <c r="F1808" s="311">
        <v>200</v>
      </c>
      <c r="G1808" s="306">
        <v>94</v>
      </c>
    </row>
    <row r="1809" spans="1:7" x14ac:dyDescent="0.2">
      <c r="A1809" s="310" t="s">
        <v>1366</v>
      </c>
      <c r="B1809" s="310" t="s">
        <v>1376</v>
      </c>
      <c r="C1809" s="309">
        <v>42562</v>
      </c>
      <c r="D1809" s="308" t="s">
        <v>2384</v>
      </c>
      <c r="E1809" s="307">
        <v>1</v>
      </c>
      <c r="F1809" s="311">
        <v>380</v>
      </c>
      <c r="G1809" s="306">
        <v>94</v>
      </c>
    </row>
    <row r="1810" spans="1:7" x14ac:dyDescent="0.2">
      <c r="A1810" s="310" t="s">
        <v>1366</v>
      </c>
      <c r="B1810" s="310" t="s">
        <v>1376</v>
      </c>
      <c r="C1810" s="309">
        <v>42562</v>
      </c>
      <c r="D1810" s="308" t="s">
        <v>2698</v>
      </c>
      <c r="E1810" s="307">
        <v>1</v>
      </c>
      <c r="F1810" s="311">
        <v>380</v>
      </c>
      <c r="G1810" s="306">
        <v>94</v>
      </c>
    </row>
    <row r="1811" spans="1:7" x14ac:dyDescent="0.2">
      <c r="A1811" s="310" t="s">
        <v>1364</v>
      </c>
      <c r="B1811" s="310" t="s">
        <v>1371</v>
      </c>
      <c r="C1811" s="309">
        <v>42157</v>
      </c>
      <c r="D1811" s="308" t="s">
        <v>1506</v>
      </c>
      <c r="E1811" s="307">
        <v>1</v>
      </c>
      <c r="F1811" s="311">
        <v>600</v>
      </c>
      <c r="G1811" s="306">
        <f>90+(4)</f>
        <v>94</v>
      </c>
    </row>
    <row r="1812" spans="1:7" x14ac:dyDescent="0.2">
      <c r="A1812" s="310" t="s">
        <v>1364</v>
      </c>
      <c r="B1812" s="310" t="s">
        <v>1371</v>
      </c>
      <c r="C1812" s="309">
        <v>42157</v>
      </c>
      <c r="D1812" s="308" t="s">
        <v>1709</v>
      </c>
      <c r="E1812" s="307">
        <v>1</v>
      </c>
      <c r="F1812" s="311">
        <v>600</v>
      </c>
      <c r="G1812" s="306">
        <f>90+(4)</f>
        <v>94</v>
      </c>
    </row>
    <row r="1813" spans="1:7" x14ac:dyDescent="0.2">
      <c r="A1813" s="310" t="s">
        <v>1364</v>
      </c>
      <c r="B1813" s="310" t="s">
        <v>1371</v>
      </c>
      <c r="C1813" s="309">
        <v>42430</v>
      </c>
      <c r="D1813" s="308" t="s">
        <v>2706</v>
      </c>
      <c r="E1813" s="307">
        <v>1</v>
      </c>
      <c r="F1813" s="311">
        <v>650</v>
      </c>
      <c r="G1813" s="306">
        <f>90+(4)</f>
        <v>94</v>
      </c>
    </row>
    <row r="1814" spans="1:7" x14ac:dyDescent="0.2">
      <c r="A1814" s="310" t="s">
        <v>1364</v>
      </c>
      <c r="B1814" s="310" t="s">
        <v>1367</v>
      </c>
      <c r="C1814" s="309">
        <v>42638</v>
      </c>
      <c r="D1814" s="308" t="s">
        <v>2756</v>
      </c>
      <c r="E1814" s="307">
        <v>1</v>
      </c>
      <c r="F1814" s="311">
        <v>650</v>
      </c>
      <c r="G1814" s="306">
        <v>94</v>
      </c>
    </row>
    <row r="1815" spans="1:7" x14ac:dyDescent="0.2">
      <c r="A1815" s="310" t="s">
        <v>1360</v>
      </c>
      <c r="B1815" s="310" t="s">
        <v>1371</v>
      </c>
      <c r="C1815" s="309">
        <v>42022</v>
      </c>
      <c r="D1815" s="308" t="s">
        <v>1543</v>
      </c>
      <c r="E1815" s="307">
        <v>1</v>
      </c>
      <c r="F1815" s="311">
        <v>250</v>
      </c>
      <c r="G1815" s="306">
        <f>90+(4)</f>
        <v>94</v>
      </c>
    </row>
    <row r="1816" spans="1:7" x14ac:dyDescent="0.2">
      <c r="A1816" s="310" t="s">
        <v>1360</v>
      </c>
      <c r="B1816" s="310" t="s">
        <v>1371</v>
      </c>
      <c r="C1816" s="309">
        <v>42504</v>
      </c>
      <c r="D1816" s="308" t="s">
        <v>2924</v>
      </c>
      <c r="E1816" s="307">
        <v>1</v>
      </c>
      <c r="F1816" s="311">
        <v>275</v>
      </c>
      <c r="G1816" s="306">
        <f>90+(4)</f>
        <v>94</v>
      </c>
    </row>
    <row r="1817" spans="1:7" x14ac:dyDescent="0.2">
      <c r="A1817" s="310" t="s">
        <v>1359</v>
      </c>
      <c r="B1817" s="310" t="s">
        <v>1363</v>
      </c>
      <c r="C1817" s="309">
        <v>42424</v>
      </c>
      <c r="D1817" s="308" t="s">
        <v>2966</v>
      </c>
      <c r="E1817" s="307">
        <v>1</v>
      </c>
      <c r="F1817" s="311">
        <v>400</v>
      </c>
      <c r="G1817" s="307">
        <v>94</v>
      </c>
    </row>
    <row r="1818" spans="1:7" x14ac:dyDescent="0.2">
      <c r="A1818" s="310" t="s">
        <v>1359</v>
      </c>
      <c r="B1818" s="310" t="s">
        <v>1363</v>
      </c>
      <c r="C1818" s="309">
        <v>42424</v>
      </c>
      <c r="D1818" s="308" t="s">
        <v>2970</v>
      </c>
      <c r="E1818" s="307">
        <v>1</v>
      </c>
      <c r="F1818" s="311">
        <v>400</v>
      </c>
      <c r="G1818" s="307">
        <v>94</v>
      </c>
    </row>
    <row r="1819" spans="1:7" x14ac:dyDescent="0.2">
      <c r="A1819" s="310" t="s">
        <v>1358</v>
      </c>
      <c r="B1819" s="310" t="s">
        <v>1375</v>
      </c>
      <c r="C1819" s="309">
        <v>42037</v>
      </c>
      <c r="D1819" s="308" t="s">
        <v>1466</v>
      </c>
      <c r="E1819" s="307">
        <v>1</v>
      </c>
      <c r="F1819" s="311">
        <v>300</v>
      </c>
      <c r="G1819" s="307">
        <v>94</v>
      </c>
    </row>
    <row r="1820" spans="1:7" x14ac:dyDescent="0.2">
      <c r="A1820" s="310" t="s">
        <v>1358</v>
      </c>
      <c r="B1820" s="310" t="s">
        <v>1375</v>
      </c>
      <c r="C1820" s="309">
        <v>42289</v>
      </c>
      <c r="D1820" s="308" t="s">
        <v>1395</v>
      </c>
      <c r="E1820" s="307">
        <v>1</v>
      </c>
      <c r="F1820" s="311">
        <v>300</v>
      </c>
      <c r="G1820" s="307">
        <v>94</v>
      </c>
    </row>
    <row r="1821" spans="1:7" x14ac:dyDescent="0.2">
      <c r="A1821" s="310" t="s">
        <v>1358</v>
      </c>
      <c r="B1821" s="310" t="s">
        <v>1375</v>
      </c>
      <c r="C1821" s="309">
        <v>42460</v>
      </c>
      <c r="D1821" s="308" t="s">
        <v>3033</v>
      </c>
      <c r="E1821" s="307">
        <v>1</v>
      </c>
      <c r="F1821" s="311">
        <v>320</v>
      </c>
      <c r="G1821" s="307">
        <v>94</v>
      </c>
    </row>
    <row r="1822" spans="1:7" x14ac:dyDescent="0.2">
      <c r="A1822" s="310" t="s">
        <v>1319</v>
      </c>
      <c r="B1822" s="310" t="s">
        <v>1367</v>
      </c>
      <c r="C1822" s="309">
        <v>42332</v>
      </c>
      <c r="D1822" s="308" t="s">
        <v>1515</v>
      </c>
      <c r="E1822" s="307">
        <v>1</v>
      </c>
      <c r="F1822" s="311">
        <v>100</v>
      </c>
      <c r="G1822" s="306">
        <v>95</v>
      </c>
    </row>
    <row r="1823" spans="1:7" x14ac:dyDescent="0.2">
      <c r="A1823" s="310" t="s">
        <v>1313</v>
      </c>
      <c r="B1823" s="310" t="s">
        <v>1361</v>
      </c>
      <c r="C1823" s="309">
        <v>42177</v>
      </c>
      <c r="D1823" s="308" t="s">
        <v>1719</v>
      </c>
      <c r="E1823" s="307">
        <v>1</v>
      </c>
      <c r="F1823" s="311">
        <v>200</v>
      </c>
      <c r="G1823" s="303">
        <f>100-(5)</f>
        <v>95</v>
      </c>
    </row>
    <row r="1824" spans="1:7" x14ac:dyDescent="0.2">
      <c r="A1824" s="310" t="s">
        <v>1374</v>
      </c>
      <c r="B1824" s="310" t="s">
        <v>1369</v>
      </c>
      <c r="C1824" s="309">
        <v>42531</v>
      </c>
      <c r="D1824" s="308" t="s">
        <v>2231</v>
      </c>
      <c r="E1824" s="307">
        <v>1</v>
      </c>
      <c r="F1824" s="311">
        <v>320</v>
      </c>
      <c r="G1824" s="307">
        <v>95</v>
      </c>
    </row>
    <row r="1825" spans="1:7" x14ac:dyDescent="0.2">
      <c r="A1825" s="310" t="s">
        <v>1370</v>
      </c>
      <c r="B1825" s="310" t="s">
        <v>1361</v>
      </c>
      <c r="C1825" s="309">
        <v>42447</v>
      </c>
      <c r="D1825" s="308" t="s">
        <v>2397</v>
      </c>
      <c r="E1825" s="307">
        <v>1</v>
      </c>
      <c r="F1825" s="311">
        <v>500</v>
      </c>
      <c r="G1825" s="303">
        <f>100-(5)</f>
        <v>95</v>
      </c>
    </row>
    <row r="1826" spans="1:7" x14ac:dyDescent="0.2">
      <c r="A1826" s="310" t="s">
        <v>1368</v>
      </c>
      <c r="B1826" s="310" t="s">
        <v>1367</v>
      </c>
      <c r="C1826" s="309">
        <v>42068</v>
      </c>
      <c r="D1826" s="308" t="s">
        <v>1632</v>
      </c>
      <c r="E1826" s="307">
        <v>1</v>
      </c>
      <c r="F1826" s="311">
        <v>200</v>
      </c>
      <c r="G1826" s="306">
        <v>95</v>
      </c>
    </row>
    <row r="1827" spans="1:7" x14ac:dyDescent="0.2">
      <c r="A1827" s="310" t="s">
        <v>1368</v>
      </c>
      <c r="B1827" s="310" t="s">
        <v>1367</v>
      </c>
      <c r="C1827" s="309">
        <v>42170</v>
      </c>
      <c r="D1827" s="308" t="s">
        <v>1583</v>
      </c>
      <c r="E1827" s="307">
        <v>1</v>
      </c>
      <c r="F1827" s="311">
        <v>200</v>
      </c>
      <c r="G1827" s="306">
        <v>95</v>
      </c>
    </row>
    <row r="1828" spans="1:7" x14ac:dyDescent="0.2">
      <c r="A1828" s="310" t="s">
        <v>1368</v>
      </c>
      <c r="B1828" s="310" t="s">
        <v>1371</v>
      </c>
      <c r="C1828" s="309">
        <v>42323</v>
      </c>
      <c r="D1828" s="308" t="s">
        <v>1541</v>
      </c>
      <c r="E1828" s="307">
        <v>1</v>
      </c>
      <c r="F1828" s="311">
        <v>200</v>
      </c>
      <c r="G1828" s="306">
        <f>91+(4)</f>
        <v>95</v>
      </c>
    </row>
    <row r="1829" spans="1:7" x14ac:dyDescent="0.2">
      <c r="A1829" s="310" t="s">
        <v>1368</v>
      </c>
      <c r="B1829" s="310" t="s">
        <v>1371</v>
      </c>
      <c r="C1829" s="309">
        <v>42340</v>
      </c>
      <c r="D1829" s="308" t="s">
        <v>1467</v>
      </c>
      <c r="E1829" s="307">
        <v>1</v>
      </c>
      <c r="F1829" s="311">
        <v>200</v>
      </c>
      <c r="G1829" s="306">
        <f>91+(4)</f>
        <v>95</v>
      </c>
    </row>
    <row r="1830" spans="1:7" x14ac:dyDescent="0.2">
      <c r="A1830" s="310" t="s">
        <v>1368</v>
      </c>
      <c r="B1830" s="310" t="s">
        <v>1371</v>
      </c>
      <c r="C1830" s="309">
        <v>42412</v>
      </c>
      <c r="D1830" s="308" t="s">
        <v>2443</v>
      </c>
      <c r="E1830" s="307">
        <v>1</v>
      </c>
      <c r="F1830" s="311">
        <v>200</v>
      </c>
      <c r="G1830" s="306">
        <f>91+(4)</f>
        <v>95</v>
      </c>
    </row>
    <row r="1831" spans="1:7" x14ac:dyDescent="0.2">
      <c r="A1831" s="310" t="s">
        <v>1368</v>
      </c>
      <c r="B1831" s="310" t="s">
        <v>1367</v>
      </c>
      <c r="C1831" s="309">
        <v>42439</v>
      </c>
      <c r="D1831" s="308" t="s">
        <v>2464</v>
      </c>
      <c r="E1831" s="307">
        <v>1</v>
      </c>
      <c r="F1831" s="311">
        <v>200</v>
      </c>
      <c r="G1831" s="306">
        <v>95</v>
      </c>
    </row>
    <row r="1832" spans="1:7" x14ac:dyDescent="0.2">
      <c r="A1832" s="310" t="s">
        <v>1368</v>
      </c>
      <c r="B1832" s="310" t="s">
        <v>1367</v>
      </c>
      <c r="C1832" s="309">
        <v>42485</v>
      </c>
      <c r="D1832" s="308" t="s">
        <v>2504</v>
      </c>
      <c r="E1832" s="307">
        <v>1</v>
      </c>
      <c r="F1832" s="311">
        <v>200</v>
      </c>
      <c r="G1832" s="306">
        <v>95</v>
      </c>
    </row>
    <row r="1833" spans="1:7" x14ac:dyDescent="0.2">
      <c r="A1833" s="310" t="s">
        <v>1368</v>
      </c>
      <c r="B1833" s="310" t="s">
        <v>1367</v>
      </c>
      <c r="C1833" s="309">
        <v>42490</v>
      </c>
      <c r="D1833" s="308" t="s">
        <v>2514</v>
      </c>
      <c r="E1833" s="307">
        <v>1</v>
      </c>
      <c r="F1833" s="311">
        <v>200</v>
      </c>
      <c r="G1833" s="306">
        <v>95</v>
      </c>
    </row>
    <row r="1834" spans="1:7" x14ac:dyDescent="0.2">
      <c r="A1834" s="310" t="s">
        <v>1368</v>
      </c>
      <c r="B1834" s="310" t="s">
        <v>1367</v>
      </c>
      <c r="C1834" s="309">
        <v>42505</v>
      </c>
      <c r="D1834" s="308" t="s">
        <v>2555</v>
      </c>
      <c r="E1834" s="307">
        <v>1</v>
      </c>
      <c r="F1834" s="311">
        <v>200</v>
      </c>
      <c r="G1834" s="306">
        <v>95</v>
      </c>
    </row>
    <row r="1835" spans="1:7" x14ac:dyDescent="0.2">
      <c r="A1835" s="310" t="s">
        <v>1368</v>
      </c>
      <c r="B1835" s="310" t="s">
        <v>1367</v>
      </c>
      <c r="C1835" s="309">
        <v>42614</v>
      </c>
      <c r="D1835" s="308" t="s">
        <v>2638</v>
      </c>
      <c r="E1835" s="307">
        <v>1</v>
      </c>
      <c r="F1835" s="311">
        <v>200</v>
      </c>
      <c r="G1835" s="306">
        <v>95</v>
      </c>
    </row>
    <row r="1836" spans="1:7" x14ac:dyDescent="0.2">
      <c r="A1836" s="310" t="s">
        <v>1366</v>
      </c>
      <c r="B1836" s="310" t="s">
        <v>1376</v>
      </c>
      <c r="C1836" s="309">
        <v>42259</v>
      </c>
      <c r="D1836" s="308" t="s">
        <v>1421</v>
      </c>
      <c r="E1836" s="307">
        <v>1</v>
      </c>
      <c r="F1836" s="311">
        <v>350</v>
      </c>
      <c r="G1836" s="306">
        <v>95</v>
      </c>
    </row>
    <row r="1837" spans="1:7" x14ac:dyDescent="0.2">
      <c r="A1837" s="310" t="s">
        <v>1366</v>
      </c>
      <c r="B1837" s="310" t="s">
        <v>1376</v>
      </c>
      <c r="C1837" s="309">
        <v>42562</v>
      </c>
      <c r="D1837" s="308" t="s">
        <v>2656</v>
      </c>
      <c r="E1837" s="307">
        <v>1</v>
      </c>
      <c r="F1837" s="311">
        <v>380</v>
      </c>
      <c r="G1837" s="306">
        <v>95</v>
      </c>
    </row>
    <row r="1838" spans="1:7" x14ac:dyDescent="0.2">
      <c r="A1838" s="310" t="s">
        <v>1366</v>
      </c>
      <c r="B1838" s="310" t="s">
        <v>1376</v>
      </c>
      <c r="C1838" s="309">
        <v>42562</v>
      </c>
      <c r="D1838" s="308" t="s">
        <v>2678</v>
      </c>
      <c r="E1838" s="307">
        <v>1</v>
      </c>
      <c r="F1838" s="311">
        <v>380</v>
      </c>
      <c r="G1838" s="306">
        <v>95</v>
      </c>
    </row>
    <row r="1839" spans="1:7" x14ac:dyDescent="0.2">
      <c r="A1839" s="310" t="s">
        <v>1364</v>
      </c>
      <c r="B1839" s="310" t="s">
        <v>1367</v>
      </c>
      <c r="C1839" s="309">
        <v>42091</v>
      </c>
      <c r="D1839" s="308" t="s">
        <v>1513</v>
      </c>
      <c r="E1839" s="307">
        <v>1</v>
      </c>
      <c r="F1839" s="311">
        <v>600</v>
      </c>
      <c r="G1839" s="306">
        <v>95</v>
      </c>
    </row>
    <row r="1840" spans="1:7" x14ac:dyDescent="0.2">
      <c r="A1840" s="310" t="s">
        <v>1364</v>
      </c>
      <c r="B1840" s="310" t="s">
        <v>1371</v>
      </c>
      <c r="C1840" s="309">
        <v>42430</v>
      </c>
      <c r="D1840" s="308" t="s">
        <v>2711</v>
      </c>
      <c r="E1840" s="307">
        <v>1</v>
      </c>
      <c r="F1840" s="311">
        <v>650</v>
      </c>
      <c r="G1840" s="306">
        <f>91+(4)</f>
        <v>95</v>
      </c>
    </row>
    <row r="1841" spans="1:7" x14ac:dyDescent="0.2">
      <c r="A1841" s="310" t="s">
        <v>1364</v>
      </c>
      <c r="B1841" s="310" t="s">
        <v>1371</v>
      </c>
      <c r="C1841" s="309">
        <v>42430</v>
      </c>
      <c r="D1841" s="308" t="s">
        <v>2714</v>
      </c>
      <c r="E1841" s="307">
        <v>1</v>
      </c>
      <c r="F1841" s="311">
        <v>650</v>
      </c>
      <c r="G1841" s="306">
        <f>91+(4)</f>
        <v>95</v>
      </c>
    </row>
    <row r="1842" spans="1:7" x14ac:dyDescent="0.2">
      <c r="A1842" s="310" t="s">
        <v>1364</v>
      </c>
      <c r="B1842" s="310" t="s">
        <v>1367</v>
      </c>
      <c r="C1842" s="309">
        <v>42638</v>
      </c>
      <c r="D1842" s="308" t="s">
        <v>2742</v>
      </c>
      <c r="E1842" s="307">
        <v>1</v>
      </c>
      <c r="F1842" s="311">
        <v>650</v>
      </c>
      <c r="G1842" s="306">
        <v>95</v>
      </c>
    </row>
    <row r="1843" spans="1:7" x14ac:dyDescent="0.2">
      <c r="A1843" s="310" t="s">
        <v>1364</v>
      </c>
      <c r="B1843" s="310" t="s">
        <v>1367</v>
      </c>
      <c r="C1843" s="309">
        <v>42638</v>
      </c>
      <c r="D1843" s="308" t="s">
        <v>2763</v>
      </c>
      <c r="E1843" s="307">
        <v>1</v>
      </c>
      <c r="F1843" s="311">
        <v>650</v>
      </c>
      <c r="G1843" s="306">
        <v>95</v>
      </c>
    </row>
    <row r="1844" spans="1:7" x14ac:dyDescent="0.2">
      <c r="A1844" s="310" t="s">
        <v>1364</v>
      </c>
      <c r="B1844" s="310" t="s">
        <v>1367</v>
      </c>
      <c r="C1844" s="309">
        <v>42638</v>
      </c>
      <c r="D1844" s="308" t="s">
        <v>2748</v>
      </c>
      <c r="E1844" s="307">
        <v>1</v>
      </c>
      <c r="F1844" s="311">
        <v>650</v>
      </c>
      <c r="G1844" s="306">
        <v>95</v>
      </c>
    </row>
    <row r="1845" spans="1:7" x14ac:dyDescent="0.2">
      <c r="A1845" s="310" t="s">
        <v>1360</v>
      </c>
      <c r="B1845" s="310" t="s">
        <v>1371</v>
      </c>
      <c r="C1845" s="309">
        <v>42022</v>
      </c>
      <c r="D1845" s="308" t="s">
        <v>1561</v>
      </c>
      <c r="E1845" s="307">
        <v>1</v>
      </c>
      <c r="F1845" s="311">
        <v>250</v>
      </c>
      <c r="G1845" s="306">
        <f>91+(4)</f>
        <v>95</v>
      </c>
    </row>
    <row r="1846" spans="1:7" x14ac:dyDescent="0.2">
      <c r="A1846" s="310" t="s">
        <v>1360</v>
      </c>
      <c r="B1846" s="310" t="s">
        <v>1371</v>
      </c>
      <c r="C1846" s="309">
        <v>42022</v>
      </c>
      <c r="D1846" s="308" t="s">
        <v>1550</v>
      </c>
      <c r="E1846" s="307">
        <v>1</v>
      </c>
      <c r="F1846" s="311">
        <v>250</v>
      </c>
      <c r="G1846" s="306">
        <f>91+(4)</f>
        <v>95</v>
      </c>
    </row>
    <row r="1847" spans="1:7" x14ac:dyDescent="0.2">
      <c r="A1847" s="310" t="s">
        <v>1360</v>
      </c>
      <c r="B1847" s="310" t="s">
        <v>1371</v>
      </c>
      <c r="C1847" s="309">
        <v>42022</v>
      </c>
      <c r="D1847" s="308" t="s">
        <v>1549</v>
      </c>
      <c r="E1847" s="307">
        <v>1</v>
      </c>
      <c r="F1847" s="311">
        <v>250</v>
      </c>
      <c r="G1847" s="306">
        <f>91+(4)</f>
        <v>95</v>
      </c>
    </row>
    <row r="1848" spans="1:7" x14ac:dyDescent="0.2">
      <c r="A1848" s="310" t="s">
        <v>1358</v>
      </c>
      <c r="B1848" s="310" t="s">
        <v>1375</v>
      </c>
      <c r="C1848" s="309">
        <v>42289</v>
      </c>
      <c r="D1848" s="308" t="s">
        <v>1405</v>
      </c>
      <c r="E1848" s="307">
        <v>1</v>
      </c>
      <c r="F1848" s="311">
        <v>300</v>
      </c>
      <c r="G1848" s="307">
        <v>95</v>
      </c>
    </row>
    <row r="1849" spans="1:7" x14ac:dyDescent="0.2">
      <c r="A1849" s="310" t="s">
        <v>1319</v>
      </c>
      <c r="B1849" s="310" t="s">
        <v>1367</v>
      </c>
      <c r="C1849" s="309">
        <v>42332</v>
      </c>
      <c r="D1849" s="308" t="s">
        <v>2000</v>
      </c>
      <c r="E1849" s="307">
        <v>1</v>
      </c>
      <c r="F1849" s="311">
        <v>100</v>
      </c>
      <c r="G1849" s="306">
        <v>96</v>
      </c>
    </row>
    <row r="1850" spans="1:7" x14ac:dyDescent="0.2">
      <c r="A1850" s="310" t="s">
        <v>1319</v>
      </c>
      <c r="B1850" s="310" t="s">
        <v>1367</v>
      </c>
      <c r="C1850" s="309">
        <v>42666</v>
      </c>
      <c r="D1850" s="308" t="s">
        <v>2161</v>
      </c>
      <c r="E1850" s="307">
        <v>1</v>
      </c>
      <c r="F1850" s="311">
        <v>120</v>
      </c>
      <c r="G1850" s="306">
        <v>96</v>
      </c>
    </row>
    <row r="1851" spans="1:7" x14ac:dyDescent="0.2">
      <c r="A1851" s="310" t="s">
        <v>1374</v>
      </c>
      <c r="B1851" s="310" t="s">
        <v>1369</v>
      </c>
      <c r="C1851" s="309">
        <v>42227</v>
      </c>
      <c r="D1851" s="308" t="s">
        <v>1685</v>
      </c>
      <c r="E1851" s="307">
        <v>1</v>
      </c>
      <c r="F1851" s="311">
        <v>300</v>
      </c>
      <c r="G1851" s="307">
        <v>96</v>
      </c>
    </row>
    <row r="1852" spans="1:7" x14ac:dyDescent="0.2">
      <c r="A1852" s="310" t="s">
        <v>1374</v>
      </c>
      <c r="B1852" s="310" t="s">
        <v>1369</v>
      </c>
      <c r="C1852" s="309">
        <v>42531</v>
      </c>
      <c r="D1852" s="308" t="s">
        <v>2248</v>
      </c>
      <c r="E1852" s="307">
        <v>1</v>
      </c>
      <c r="F1852" s="311">
        <v>320</v>
      </c>
      <c r="G1852" s="307">
        <v>96</v>
      </c>
    </row>
    <row r="1853" spans="1:7" x14ac:dyDescent="0.2">
      <c r="A1853" s="310" t="s">
        <v>1372</v>
      </c>
      <c r="B1853" s="310" t="s">
        <v>1363</v>
      </c>
      <c r="C1853" s="309">
        <v>42271</v>
      </c>
      <c r="D1853" s="308" t="s">
        <v>1667</v>
      </c>
      <c r="E1853" s="307">
        <v>1</v>
      </c>
      <c r="F1853" s="311">
        <v>300</v>
      </c>
      <c r="G1853" s="307">
        <v>96</v>
      </c>
    </row>
    <row r="1854" spans="1:7" x14ac:dyDescent="0.2">
      <c r="A1854" s="310" t="s">
        <v>1372</v>
      </c>
      <c r="B1854" s="310" t="s">
        <v>1363</v>
      </c>
      <c r="C1854" s="309">
        <v>42685</v>
      </c>
      <c r="D1854" s="308" t="s">
        <v>2291</v>
      </c>
      <c r="E1854" s="307">
        <v>1</v>
      </c>
      <c r="F1854" s="311">
        <v>310</v>
      </c>
      <c r="G1854" s="307">
        <v>96</v>
      </c>
    </row>
    <row r="1855" spans="1:7" x14ac:dyDescent="0.2">
      <c r="A1855" s="310" t="s">
        <v>1368</v>
      </c>
      <c r="B1855" s="310" t="s">
        <v>1367</v>
      </c>
      <c r="C1855" s="309">
        <v>42068</v>
      </c>
      <c r="D1855" s="308" t="s">
        <v>1826</v>
      </c>
      <c r="E1855" s="307">
        <v>1</v>
      </c>
      <c r="F1855" s="311">
        <v>200</v>
      </c>
      <c r="G1855" s="306">
        <v>96</v>
      </c>
    </row>
    <row r="1856" spans="1:7" x14ac:dyDescent="0.2">
      <c r="A1856" s="310" t="s">
        <v>1368</v>
      </c>
      <c r="B1856" s="310" t="s">
        <v>1367</v>
      </c>
      <c r="C1856" s="309">
        <v>42068</v>
      </c>
      <c r="D1856" s="308" t="s">
        <v>1825</v>
      </c>
      <c r="E1856" s="307">
        <v>1</v>
      </c>
      <c r="F1856" s="311">
        <v>200</v>
      </c>
      <c r="G1856" s="306">
        <v>96</v>
      </c>
    </row>
    <row r="1857" spans="1:7" x14ac:dyDescent="0.2">
      <c r="A1857" s="310" t="s">
        <v>1368</v>
      </c>
      <c r="B1857" s="310" t="s">
        <v>1367</v>
      </c>
      <c r="C1857" s="309">
        <v>42170</v>
      </c>
      <c r="D1857" s="308" t="s">
        <v>1808</v>
      </c>
      <c r="E1857" s="307">
        <v>1</v>
      </c>
      <c r="F1857" s="311">
        <v>200</v>
      </c>
      <c r="G1857" s="306">
        <v>96</v>
      </c>
    </row>
    <row r="1858" spans="1:7" x14ac:dyDescent="0.2">
      <c r="A1858" s="310" t="s">
        <v>1368</v>
      </c>
      <c r="B1858" s="310" t="s">
        <v>1371</v>
      </c>
      <c r="C1858" s="309">
        <v>42323</v>
      </c>
      <c r="D1858" s="308" t="s">
        <v>1682</v>
      </c>
      <c r="E1858" s="307">
        <v>1</v>
      </c>
      <c r="F1858" s="311">
        <v>200</v>
      </c>
      <c r="G1858" s="306">
        <f t="shared" ref="G1858:G1863" si="16">92+(4)</f>
        <v>96</v>
      </c>
    </row>
    <row r="1859" spans="1:7" x14ac:dyDescent="0.2">
      <c r="A1859" s="310" t="s">
        <v>1368</v>
      </c>
      <c r="B1859" s="310" t="s">
        <v>1371</v>
      </c>
      <c r="C1859" s="309">
        <v>42323</v>
      </c>
      <c r="D1859" s="308" t="s">
        <v>1550</v>
      </c>
      <c r="E1859" s="307">
        <v>1</v>
      </c>
      <c r="F1859" s="311">
        <v>200</v>
      </c>
      <c r="G1859" s="306">
        <f t="shared" si="16"/>
        <v>96</v>
      </c>
    </row>
    <row r="1860" spans="1:7" x14ac:dyDescent="0.2">
      <c r="A1860" s="310" t="s">
        <v>1368</v>
      </c>
      <c r="B1860" s="310" t="s">
        <v>1371</v>
      </c>
      <c r="C1860" s="309">
        <v>42323</v>
      </c>
      <c r="D1860" s="308" t="s">
        <v>1549</v>
      </c>
      <c r="E1860" s="307">
        <v>1</v>
      </c>
      <c r="F1860" s="311">
        <v>200</v>
      </c>
      <c r="G1860" s="306">
        <f t="shared" si="16"/>
        <v>96</v>
      </c>
    </row>
    <row r="1861" spans="1:7" x14ac:dyDescent="0.2">
      <c r="A1861" s="310" t="s">
        <v>1368</v>
      </c>
      <c r="B1861" s="310" t="s">
        <v>1371</v>
      </c>
      <c r="C1861" s="309">
        <v>42340</v>
      </c>
      <c r="D1861" s="308" t="s">
        <v>1865</v>
      </c>
      <c r="E1861" s="307">
        <v>1</v>
      </c>
      <c r="F1861" s="311">
        <v>200</v>
      </c>
      <c r="G1861" s="306">
        <f t="shared" si="16"/>
        <v>96</v>
      </c>
    </row>
    <row r="1862" spans="1:7" x14ac:dyDescent="0.2">
      <c r="A1862" s="310" t="s">
        <v>1368</v>
      </c>
      <c r="B1862" s="310" t="s">
        <v>1371</v>
      </c>
      <c r="C1862" s="309">
        <v>42340</v>
      </c>
      <c r="D1862" s="308" t="s">
        <v>1406</v>
      </c>
      <c r="E1862" s="307">
        <v>1</v>
      </c>
      <c r="F1862" s="311">
        <v>200</v>
      </c>
      <c r="G1862" s="306">
        <f t="shared" si="16"/>
        <v>96</v>
      </c>
    </row>
    <row r="1863" spans="1:7" x14ac:dyDescent="0.2">
      <c r="A1863" s="310" t="s">
        <v>1368</v>
      </c>
      <c r="B1863" s="310" t="s">
        <v>1371</v>
      </c>
      <c r="C1863" s="309">
        <v>42412</v>
      </c>
      <c r="D1863" s="308" t="s">
        <v>2455</v>
      </c>
      <c r="E1863" s="307">
        <v>1</v>
      </c>
      <c r="F1863" s="311">
        <v>200</v>
      </c>
      <c r="G1863" s="306">
        <f t="shared" si="16"/>
        <v>96</v>
      </c>
    </row>
    <row r="1864" spans="1:7" x14ac:dyDescent="0.2">
      <c r="A1864" s="310" t="s">
        <v>1368</v>
      </c>
      <c r="B1864" s="310" t="s">
        <v>1367</v>
      </c>
      <c r="C1864" s="309">
        <v>42430</v>
      </c>
      <c r="D1864" s="308" t="s">
        <v>2175</v>
      </c>
      <c r="E1864" s="307">
        <v>1</v>
      </c>
      <c r="F1864" s="311">
        <v>200</v>
      </c>
      <c r="G1864" s="306">
        <v>96</v>
      </c>
    </row>
    <row r="1865" spans="1:7" x14ac:dyDescent="0.2">
      <c r="A1865" s="310" t="s">
        <v>1368</v>
      </c>
      <c r="B1865" s="310" t="s">
        <v>1367</v>
      </c>
      <c r="C1865" s="309">
        <v>42461</v>
      </c>
      <c r="D1865" s="308" t="s">
        <v>2495</v>
      </c>
      <c r="E1865" s="307">
        <v>1</v>
      </c>
      <c r="F1865" s="311">
        <v>200</v>
      </c>
      <c r="G1865" s="306">
        <v>96</v>
      </c>
    </row>
    <row r="1866" spans="1:7" x14ac:dyDescent="0.2">
      <c r="A1866" s="310" t="s">
        <v>1368</v>
      </c>
      <c r="B1866" s="310" t="s">
        <v>1367</v>
      </c>
      <c r="C1866" s="309">
        <v>42593</v>
      </c>
      <c r="D1866" s="308" t="s">
        <v>2613</v>
      </c>
      <c r="E1866" s="307">
        <v>1</v>
      </c>
      <c r="F1866" s="311">
        <v>200</v>
      </c>
      <c r="G1866" s="306">
        <v>96</v>
      </c>
    </row>
    <row r="1867" spans="1:7" x14ac:dyDescent="0.2">
      <c r="A1867" s="310" t="s">
        <v>1368</v>
      </c>
      <c r="B1867" s="310" t="s">
        <v>1367</v>
      </c>
      <c r="C1867" s="309">
        <v>42627</v>
      </c>
      <c r="D1867" s="308" t="s">
        <v>2646</v>
      </c>
      <c r="E1867" s="307">
        <v>1</v>
      </c>
      <c r="F1867" s="311">
        <v>200</v>
      </c>
      <c r="G1867" s="306">
        <v>96</v>
      </c>
    </row>
    <row r="1868" spans="1:7" x14ac:dyDescent="0.2">
      <c r="A1868" s="310" t="s">
        <v>1364</v>
      </c>
      <c r="B1868" s="310" t="s">
        <v>1367</v>
      </c>
      <c r="C1868" s="309">
        <v>42091</v>
      </c>
      <c r="D1868" s="308" t="s">
        <v>1683</v>
      </c>
      <c r="E1868" s="307">
        <v>1</v>
      </c>
      <c r="F1868" s="311">
        <v>600</v>
      </c>
      <c r="G1868" s="306">
        <v>96</v>
      </c>
    </row>
    <row r="1869" spans="1:7" x14ac:dyDescent="0.2">
      <c r="A1869" s="310" t="s">
        <v>1364</v>
      </c>
      <c r="B1869" s="310" t="s">
        <v>1367</v>
      </c>
      <c r="C1869" s="309">
        <v>42091</v>
      </c>
      <c r="D1869" s="308" t="s">
        <v>1636</v>
      </c>
      <c r="E1869" s="307">
        <v>1</v>
      </c>
      <c r="F1869" s="311">
        <v>600</v>
      </c>
      <c r="G1869" s="306">
        <v>96</v>
      </c>
    </row>
    <row r="1870" spans="1:7" x14ac:dyDescent="0.2">
      <c r="A1870" s="310" t="s">
        <v>1364</v>
      </c>
      <c r="B1870" s="310" t="s">
        <v>1367</v>
      </c>
      <c r="C1870" s="309">
        <v>42091</v>
      </c>
      <c r="D1870" s="308" t="s">
        <v>1676</v>
      </c>
      <c r="E1870" s="307">
        <v>1</v>
      </c>
      <c r="F1870" s="311">
        <v>600</v>
      </c>
      <c r="G1870" s="306">
        <v>96</v>
      </c>
    </row>
    <row r="1871" spans="1:7" x14ac:dyDescent="0.2">
      <c r="A1871" s="310" t="s">
        <v>1364</v>
      </c>
      <c r="B1871" s="310" t="s">
        <v>1371</v>
      </c>
      <c r="C1871" s="309">
        <v>42157</v>
      </c>
      <c r="D1871" s="308" t="s">
        <v>1726</v>
      </c>
      <c r="E1871" s="307">
        <v>1</v>
      </c>
      <c r="F1871" s="311">
        <v>600</v>
      </c>
      <c r="G1871" s="306">
        <f>92+(4)</f>
        <v>96</v>
      </c>
    </row>
    <row r="1872" spans="1:7" x14ac:dyDescent="0.2">
      <c r="A1872" s="310" t="s">
        <v>1364</v>
      </c>
      <c r="B1872" s="310" t="s">
        <v>1367</v>
      </c>
      <c r="C1872" s="309">
        <v>42638</v>
      </c>
      <c r="D1872" s="308" t="s">
        <v>2741</v>
      </c>
      <c r="E1872" s="307">
        <v>1</v>
      </c>
      <c r="F1872" s="311">
        <v>650</v>
      </c>
      <c r="G1872" s="306">
        <v>96</v>
      </c>
    </row>
    <row r="1873" spans="1:7" x14ac:dyDescent="0.2">
      <c r="A1873" s="310" t="s">
        <v>1360</v>
      </c>
      <c r="B1873" s="310" t="s">
        <v>1371</v>
      </c>
      <c r="C1873" s="309">
        <v>42504</v>
      </c>
      <c r="D1873" s="308" t="s">
        <v>2926</v>
      </c>
      <c r="E1873" s="307">
        <v>1</v>
      </c>
      <c r="F1873" s="311">
        <v>275</v>
      </c>
      <c r="G1873" s="306">
        <f>92+(4)</f>
        <v>96</v>
      </c>
    </row>
    <row r="1874" spans="1:7" x14ac:dyDescent="0.2">
      <c r="A1874" s="310" t="s">
        <v>1360</v>
      </c>
      <c r="B1874" s="310" t="s">
        <v>1371</v>
      </c>
      <c r="C1874" s="309">
        <v>42504</v>
      </c>
      <c r="D1874" s="308" t="s">
        <v>2933</v>
      </c>
      <c r="E1874" s="307">
        <v>1</v>
      </c>
      <c r="F1874" s="311">
        <v>275</v>
      </c>
      <c r="G1874" s="306">
        <f>92+(4)</f>
        <v>96</v>
      </c>
    </row>
    <row r="1875" spans="1:7" x14ac:dyDescent="0.2">
      <c r="A1875" s="310" t="s">
        <v>1360</v>
      </c>
      <c r="B1875" s="310" t="s">
        <v>1371</v>
      </c>
      <c r="C1875" s="309">
        <v>42504</v>
      </c>
      <c r="D1875" s="308" t="s">
        <v>2928</v>
      </c>
      <c r="E1875" s="307">
        <v>1</v>
      </c>
      <c r="F1875" s="311">
        <v>275</v>
      </c>
      <c r="G1875" s="306">
        <f>92+(4)</f>
        <v>96</v>
      </c>
    </row>
    <row r="1876" spans="1:7" x14ac:dyDescent="0.2">
      <c r="A1876" s="310" t="s">
        <v>1359</v>
      </c>
      <c r="B1876" s="310" t="s">
        <v>1363</v>
      </c>
      <c r="C1876" s="309">
        <v>42064</v>
      </c>
      <c r="D1876" s="308" t="s">
        <v>1544</v>
      </c>
      <c r="E1876" s="307">
        <v>1</v>
      </c>
      <c r="F1876" s="311">
        <v>400</v>
      </c>
      <c r="G1876" s="307">
        <v>96</v>
      </c>
    </row>
    <row r="1877" spans="1:7" x14ac:dyDescent="0.2">
      <c r="A1877" s="310" t="s">
        <v>1359</v>
      </c>
      <c r="B1877" s="310" t="s">
        <v>1363</v>
      </c>
      <c r="C1877" s="309">
        <v>42424</v>
      </c>
      <c r="D1877" s="308" t="s">
        <v>2940</v>
      </c>
      <c r="E1877" s="307">
        <v>1</v>
      </c>
      <c r="F1877" s="311">
        <v>400</v>
      </c>
      <c r="G1877" s="307">
        <v>96</v>
      </c>
    </row>
    <row r="1878" spans="1:7" x14ac:dyDescent="0.2">
      <c r="A1878" s="310" t="s">
        <v>1358</v>
      </c>
      <c r="B1878" s="310" t="s">
        <v>1375</v>
      </c>
      <c r="C1878" s="309">
        <v>42289</v>
      </c>
      <c r="D1878" s="308" t="s">
        <v>1432</v>
      </c>
      <c r="E1878" s="307">
        <v>1</v>
      </c>
      <c r="F1878" s="311">
        <v>300</v>
      </c>
      <c r="G1878" s="307">
        <v>96</v>
      </c>
    </row>
    <row r="1879" spans="1:7" x14ac:dyDescent="0.2">
      <c r="A1879" s="310" t="s">
        <v>1358</v>
      </c>
      <c r="B1879" s="310" t="s">
        <v>1375</v>
      </c>
      <c r="C1879" s="309">
        <v>42460</v>
      </c>
      <c r="D1879" s="308" t="s">
        <v>3013</v>
      </c>
      <c r="E1879" s="307">
        <v>1</v>
      </c>
      <c r="F1879" s="311">
        <v>320</v>
      </c>
      <c r="G1879" s="307">
        <v>96</v>
      </c>
    </row>
    <row r="1880" spans="1:7" x14ac:dyDescent="0.2">
      <c r="A1880" s="310" t="s">
        <v>1358</v>
      </c>
      <c r="B1880" s="310" t="s">
        <v>1375</v>
      </c>
      <c r="C1880" s="309">
        <v>42544</v>
      </c>
      <c r="D1880" s="308" t="s">
        <v>2170</v>
      </c>
      <c r="E1880" s="307">
        <v>1</v>
      </c>
      <c r="F1880" s="311">
        <v>320</v>
      </c>
      <c r="G1880" s="307">
        <v>96</v>
      </c>
    </row>
    <row r="1881" spans="1:7" x14ac:dyDescent="0.2">
      <c r="A1881" s="310" t="s">
        <v>1358</v>
      </c>
      <c r="B1881" s="310" t="s">
        <v>1375</v>
      </c>
      <c r="C1881" s="309">
        <v>42544</v>
      </c>
      <c r="D1881" s="308" t="s">
        <v>3038</v>
      </c>
      <c r="E1881" s="307">
        <v>1</v>
      </c>
      <c r="F1881" s="311">
        <v>320</v>
      </c>
      <c r="G1881" s="307">
        <v>96</v>
      </c>
    </row>
    <row r="1882" spans="1:7" x14ac:dyDescent="0.2">
      <c r="A1882" s="310" t="s">
        <v>1319</v>
      </c>
      <c r="B1882" s="310" t="s">
        <v>1371</v>
      </c>
      <c r="C1882" s="309">
        <v>42258</v>
      </c>
      <c r="D1882" s="308" t="s">
        <v>2004</v>
      </c>
      <c r="E1882" s="307">
        <v>1</v>
      </c>
      <c r="F1882" s="311">
        <v>100</v>
      </c>
      <c r="G1882" s="306">
        <f>93+(4)</f>
        <v>97</v>
      </c>
    </row>
    <row r="1883" spans="1:7" x14ac:dyDescent="0.2">
      <c r="A1883" s="310" t="s">
        <v>1319</v>
      </c>
      <c r="B1883" s="310" t="s">
        <v>1367</v>
      </c>
      <c r="C1883" s="309">
        <v>42332</v>
      </c>
      <c r="D1883" s="308" t="s">
        <v>1492</v>
      </c>
      <c r="E1883" s="307">
        <v>1</v>
      </c>
      <c r="F1883" s="311">
        <v>100</v>
      </c>
      <c r="G1883" s="306">
        <v>97</v>
      </c>
    </row>
    <row r="1884" spans="1:7" x14ac:dyDescent="0.2">
      <c r="A1884" s="310" t="s">
        <v>1319</v>
      </c>
      <c r="B1884" s="310" t="s">
        <v>1371</v>
      </c>
      <c r="C1884" s="309">
        <v>42476</v>
      </c>
      <c r="D1884" s="308" t="s">
        <v>2130</v>
      </c>
      <c r="E1884" s="307">
        <v>1</v>
      </c>
      <c r="F1884" s="311">
        <v>120</v>
      </c>
      <c r="G1884" s="306">
        <f>93+(4)</f>
        <v>97</v>
      </c>
    </row>
    <row r="1885" spans="1:7" x14ac:dyDescent="0.2">
      <c r="A1885" s="310" t="s">
        <v>1319</v>
      </c>
      <c r="B1885" s="310" t="s">
        <v>1371</v>
      </c>
      <c r="C1885" s="309">
        <v>42476</v>
      </c>
      <c r="D1885" s="308" t="s">
        <v>2144</v>
      </c>
      <c r="E1885" s="307">
        <v>1</v>
      </c>
      <c r="F1885" s="311">
        <v>120</v>
      </c>
      <c r="G1885" s="306">
        <f>93+(4)</f>
        <v>97</v>
      </c>
    </row>
    <row r="1886" spans="1:7" x14ac:dyDescent="0.2">
      <c r="A1886" s="310" t="s">
        <v>1374</v>
      </c>
      <c r="B1886" s="310" t="s">
        <v>1369</v>
      </c>
      <c r="C1886" s="309">
        <v>42227</v>
      </c>
      <c r="D1886" s="308" t="s">
        <v>1868</v>
      </c>
      <c r="E1886" s="307">
        <v>1</v>
      </c>
      <c r="F1886" s="311">
        <v>300</v>
      </c>
      <c r="G1886" s="307">
        <v>97</v>
      </c>
    </row>
    <row r="1887" spans="1:7" x14ac:dyDescent="0.2">
      <c r="A1887" s="310" t="s">
        <v>1374</v>
      </c>
      <c r="B1887" s="310" t="s">
        <v>1369</v>
      </c>
      <c r="C1887" s="309">
        <v>42531</v>
      </c>
      <c r="D1887" s="308" t="s">
        <v>2240</v>
      </c>
      <c r="E1887" s="307">
        <v>1</v>
      </c>
      <c r="F1887" s="311">
        <v>320</v>
      </c>
      <c r="G1887" s="307">
        <v>97</v>
      </c>
    </row>
    <row r="1888" spans="1:7" x14ac:dyDescent="0.2">
      <c r="A1888" s="310" t="s">
        <v>1368</v>
      </c>
      <c r="B1888" s="310" t="s">
        <v>1367</v>
      </c>
      <c r="C1888" s="309">
        <v>42170</v>
      </c>
      <c r="D1888" s="308" t="s">
        <v>1395</v>
      </c>
      <c r="E1888" s="307">
        <v>1</v>
      </c>
      <c r="F1888" s="311">
        <v>200</v>
      </c>
      <c r="G1888" s="306">
        <v>97</v>
      </c>
    </row>
    <row r="1889" spans="1:7" x14ac:dyDescent="0.2">
      <c r="A1889" s="310" t="s">
        <v>1368</v>
      </c>
      <c r="B1889" s="310" t="s">
        <v>1367</v>
      </c>
      <c r="C1889" s="309">
        <v>42282</v>
      </c>
      <c r="D1889" s="308" t="s">
        <v>1755</v>
      </c>
      <c r="E1889" s="307">
        <v>1</v>
      </c>
      <c r="F1889" s="311">
        <v>200</v>
      </c>
      <c r="G1889" s="306">
        <v>97</v>
      </c>
    </row>
    <row r="1890" spans="1:7" x14ac:dyDescent="0.2">
      <c r="A1890" s="310" t="s">
        <v>1368</v>
      </c>
      <c r="B1890" s="310" t="s">
        <v>1371</v>
      </c>
      <c r="C1890" s="309">
        <v>42340</v>
      </c>
      <c r="D1890" s="308" t="s">
        <v>1742</v>
      </c>
      <c r="E1890" s="307">
        <v>1</v>
      </c>
      <c r="F1890" s="311">
        <v>200</v>
      </c>
      <c r="G1890" s="306">
        <f>93+(4)</f>
        <v>97</v>
      </c>
    </row>
    <row r="1891" spans="1:7" x14ac:dyDescent="0.2">
      <c r="A1891" s="310" t="s">
        <v>1368</v>
      </c>
      <c r="B1891" s="310" t="s">
        <v>1371</v>
      </c>
      <c r="C1891" s="309">
        <v>42412</v>
      </c>
      <c r="D1891" s="308" t="s">
        <v>2438</v>
      </c>
      <c r="E1891" s="307">
        <v>1</v>
      </c>
      <c r="F1891" s="311">
        <v>200</v>
      </c>
      <c r="G1891" s="306">
        <f>93+(4)</f>
        <v>97</v>
      </c>
    </row>
    <row r="1892" spans="1:7" x14ac:dyDescent="0.2">
      <c r="A1892" s="310" t="s">
        <v>1368</v>
      </c>
      <c r="B1892" s="310" t="s">
        <v>1367</v>
      </c>
      <c r="C1892" s="309">
        <v>42453</v>
      </c>
      <c r="D1892" s="308" t="s">
        <v>2482</v>
      </c>
      <c r="E1892" s="307">
        <v>1</v>
      </c>
      <c r="F1892" s="311">
        <v>200</v>
      </c>
      <c r="G1892" s="306">
        <v>97</v>
      </c>
    </row>
    <row r="1893" spans="1:7" x14ac:dyDescent="0.2">
      <c r="A1893" s="310" t="s">
        <v>1368</v>
      </c>
      <c r="B1893" s="310" t="s">
        <v>1367</v>
      </c>
      <c r="C1893" s="309">
        <v>42461</v>
      </c>
      <c r="D1893" s="308" t="s">
        <v>2500</v>
      </c>
      <c r="E1893" s="307">
        <v>1</v>
      </c>
      <c r="F1893" s="311">
        <v>200</v>
      </c>
      <c r="G1893" s="306">
        <v>97</v>
      </c>
    </row>
    <row r="1894" spans="1:7" x14ac:dyDescent="0.2">
      <c r="A1894" s="310" t="s">
        <v>1368</v>
      </c>
      <c r="B1894" s="310" t="s">
        <v>1367</v>
      </c>
      <c r="C1894" s="309">
        <v>42505</v>
      </c>
      <c r="D1894" s="308" t="s">
        <v>2541</v>
      </c>
      <c r="E1894" s="307">
        <v>1</v>
      </c>
      <c r="F1894" s="311">
        <v>200</v>
      </c>
      <c r="G1894" s="306">
        <v>97</v>
      </c>
    </row>
    <row r="1895" spans="1:7" x14ac:dyDescent="0.2">
      <c r="A1895" s="310" t="s">
        <v>1368</v>
      </c>
      <c r="B1895" s="310" t="s">
        <v>1367</v>
      </c>
      <c r="C1895" s="309">
        <v>42545</v>
      </c>
      <c r="D1895" s="308" t="s">
        <v>2579</v>
      </c>
      <c r="E1895" s="307">
        <v>1</v>
      </c>
      <c r="F1895" s="311">
        <v>200</v>
      </c>
      <c r="G1895" s="306">
        <v>97</v>
      </c>
    </row>
    <row r="1896" spans="1:7" x14ac:dyDescent="0.2">
      <c r="A1896" s="310" t="s">
        <v>1368</v>
      </c>
      <c r="B1896" s="310" t="s">
        <v>1367</v>
      </c>
      <c r="C1896" s="309">
        <v>42545</v>
      </c>
      <c r="D1896" s="308" t="s">
        <v>2582</v>
      </c>
      <c r="E1896" s="307">
        <v>1</v>
      </c>
      <c r="F1896" s="311">
        <v>200</v>
      </c>
      <c r="G1896" s="306">
        <v>97</v>
      </c>
    </row>
    <row r="1897" spans="1:7" x14ac:dyDescent="0.2">
      <c r="A1897" s="310" t="s">
        <v>1366</v>
      </c>
      <c r="B1897" s="310" t="s">
        <v>1376</v>
      </c>
      <c r="C1897" s="309">
        <v>42259</v>
      </c>
      <c r="D1897" s="308" t="s">
        <v>1711</v>
      </c>
      <c r="E1897" s="307">
        <v>1</v>
      </c>
      <c r="F1897" s="311">
        <v>350</v>
      </c>
      <c r="G1897" s="306">
        <v>97</v>
      </c>
    </row>
    <row r="1898" spans="1:7" x14ac:dyDescent="0.2">
      <c r="A1898" s="310" t="s">
        <v>1366</v>
      </c>
      <c r="B1898" s="310" t="s">
        <v>1376</v>
      </c>
      <c r="C1898" s="309">
        <v>42259</v>
      </c>
      <c r="D1898" s="308" t="s">
        <v>1732</v>
      </c>
      <c r="E1898" s="307">
        <v>1</v>
      </c>
      <c r="F1898" s="311">
        <v>350</v>
      </c>
      <c r="G1898" s="306">
        <v>97</v>
      </c>
    </row>
    <row r="1899" spans="1:7" x14ac:dyDescent="0.2">
      <c r="A1899" s="310" t="s">
        <v>1366</v>
      </c>
      <c r="B1899" s="310" t="s">
        <v>1376</v>
      </c>
      <c r="C1899" s="309">
        <v>42562</v>
      </c>
      <c r="D1899" s="308" t="s">
        <v>2687</v>
      </c>
      <c r="E1899" s="307">
        <v>1</v>
      </c>
      <c r="F1899" s="311">
        <v>380</v>
      </c>
      <c r="G1899" s="306">
        <v>97</v>
      </c>
    </row>
    <row r="1900" spans="1:7" x14ac:dyDescent="0.2">
      <c r="A1900" s="310" t="s">
        <v>1366</v>
      </c>
      <c r="B1900" s="310" t="s">
        <v>1376</v>
      </c>
      <c r="C1900" s="309">
        <v>42562</v>
      </c>
      <c r="D1900" s="308" t="s">
        <v>2664</v>
      </c>
      <c r="E1900" s="307">
        <v>1</v>
      </c>
      <c r="F1900" s="311">
        <v>380</v>
      </c>
      <c r="G1900" s="306">
        <v>97</v>
      </c>
    </row>
    <row r="1901" spans="1:7" x14ac:dyDescent="0.2">
      <c r="A1901" s="310" t="s">
        <v>1366</v>
      </c>
      <c r="B1901" s="310" t="s">
        <v>1376</v>
      </c>
      <c r="C1901" s="309">
        <v>42562</v>
      </c>
      <c r="D1901" s="308" t="s">
        <v>2683</v>
      </c>
      <c r="E1901" s="307">
        <v>1</v>
      </c>
      <c r="F1901" s="311">
        <v>380</v>
      </c>
      <c r="G1901" s="306">
        <v>97</v>
      </c>
    </row>
    <row r="1902" spans="1:7" x14ac:dyDescent="0.2">
      <c r="A1902" s="310" t="s">
        <v>1364</v>
      </c>
      <c r="B1902" s="310" t="s">
        <v>1367</v>
      </c>
      <c r="C1902" s="309">
        <v>42091</v>
      </c>
      <c r="D1902" s="308" t="s">
        <v>1664</v>
      </c>
      <c r="E1902" s="307">
        <v>1</v>
      </c>
      <c r="F1902" s="311">
        <v>600</v>
      </c>
      <c r="G1902" s="306">
        <v>97</v>
      </c>
    </row>
    <row r="1903" spans="1:7" x14ac:dyDescent="0.2">
      <c r="A1903" s="310" t="s">
        <v>1364</v>
      </c>
      <c r="B1903" s="310" t="s">
        <v>1371</v>
      </c>
      <c r="C1903" s="309">
        <v>42157</v>
      </c>
      <c r="D1903" s="308" t="s">
        <v>1718</v>
      </c>
      <c r="E1903" s="307">
        <v>1</v>
      </c>
      <c r="F1903" s="311">
        <v>600</v>
      </c>
      <c r="G1903" s="306">
        <f>93+(4)</f>
        <v>97</v>
      </c>
    </row>
    <row r="1904" spans="1:7" x14ac:dyDescent="0.2">
      <c r="A1904" s="310" t="s">
        <v>1364</v>
      </c>
      <c r="B1904" s="310" t="s">
        <v>1371</v>
      </c>
      <c r="C1904" s="309">
        <v>42157</v>
      </c>
      <c r="D1904" s="308" t="s">
        <v>1637</v>
      </c>
      <c r="E1904" s="307">
        <v>1</v>
      </c>
      <c r="F1904" s="311">
        <v>600</v>
      </c>
      <c r="G1904" s="306">
        <f>93+(4)</f>
        <v>97</v>
      </c>
    </row>
    <row r="1905" spans="1:7" x14ac:dyDescent="0.2">
      <c r="A1905" s="310" t="s">
        <v>1364</v>
      </c>
      <c r="B1905" s="310" t="s">
        <v>1367</v>
      </c>
      <c r="C1905" s="309">
        <v>42638</v>
      </c>
      <c r="D1905" s="308" t="s">
        <v>2778</v>
      </c>
      <c r="E1905" s="307">
        <v>1</v>
      </c>
      <c r="F1905" s="311">
        <v>650</v>
      </c>
      <c r="G1905" s="306">
        <v>97</v>
      </c>
    </row>
    <row r="1906" spans="1:7" x14ac:dyDescent="0.2">
      <c r="A1906" s="310" t="s">
        <v>1364</v>
      </c>
      <c r="B1906" s="310" t="s">
        <v>1367</v>
      </c>
      <c r="C1906" s="309">
        <v>42638</v>
      </c>
      <c r="D1906" s="308" t="s">
        <v>2795</v>
      </c>
      <c r="E1906" s="307">
        <v>1</v>
      </c>
      <c r="F1906" s="311">
        <v>650</v>
      </c>
      <c r="G1906" s="306">
        <v>97</v>
      </c>
    </row>
    <row r="1907" spans="1:7" x14ac:dyDescent="0.2">
      <c r="A1907" s="310" t="s">
        <v>1364</v>
      </c>
      <c r="B1907" s="310" t="s">
        <v>1367</v>
      </c>
      <c r="C1907" s="309">
        <v>42638</v>
      </c>
      <c r="D1907" s="308" t="s">
        <v>2782</v>
      </c>
      <c r="E1907" s="307">
        <v>1</v>
      </c>
      <c r="F1907" s="311">
        <v>650</v>
      </c>
      <c r="G1907" s="306">
        <v>97</v>
      </c>
    </row>
    <row r="1908" spans="1:7" x14ac:dyDescent="0.2">
      <c r="A1908" s="310" t="s">
        <v>1359</v>
      </c>
      <c r="B1908" s="310" t="s">
        <v>1363</v>
      </c>
      <c r="C1908" s="309">
        <v>42064</v>
      </c>
      <c r="D1908" s="308" t="s">
        <v>1446</v>
      </c>
      <c r="E1908" s="307">
        <v>1</v>
      </c>
      <c r="F1908" s="311">
        <v>400</v>
      </c>
      <c r="G1908" s="307">
        <v>97</v>
      </c>
    </row>
    <row r="1909" spans="1:7" x14ac:dyDescent="0.2">
      <c r="A1909" s="310" t="s">
        <v>1359</v>
      </c>
      <c r="B1909" s="310" t="s">
        <v>1363</v>
      </c>
      <c r="C1909" s="309">
        <v>42125</v>
      </c>
      <c r="D1909" s="308" t="s">
        <v>1481</v>
      </c>
      <c r="E1909" s="307">
        <v>1</v>
      </c>
      <c r="F1909" s="311">
        <v>400</v>
      </c>
      <c r="G1909" s="307">
        <v>97</v>
      </c>
    </row>
    <row r="1910" spans="1:7" x14ac:dyDescent="0.2">
      <c r="A1910" s="310" t="s">
        <v>1359</v>
      </c>
      <c r="B1910" s="310" t="s">
        <v>1363</v>
      </c>
      <c r="C1910" s="309">
        <v>42125</v>
      </c>
      <c r="D1910" s="308" t="s">
        <v>1480</v>
      </c>
      <c r="E1910" s="307">
        <v>1</v>
      </c>
      <c r="F1910" s="311">
        <v>400</v>
      </c>
      <c r="G1910" s="307">
        <v>97</v>
      </c>
    </row>
    <row r="1911" spans="1:7" x14ac:dyDescent="0.2">
      <c r="A1911" s="310" t="s">
        <v>1359</v>
      </c>
      <c r="B1911" s="310" t="s">
        <v>1363</v>
      </c>
      <c r="C1911" s="309">
        <v>42125</v>
      </c>
      <c r="D1911" s="308" t="s">
        <v>1479</v>
      </c>
      <c r="E1911" s="307">
        <v>1</v>
      </c>
      <c r="F1911" s="311">
        <v>400</v>
      </c>
      <c r="G1911" s="307">
        <v>97</v>
      </c>
    </row>
    <row r="1912" spans="1:7" x14ac:dyDescent="0.2">
      <c r="A1912" s="310" t="s">
        <v>1359</v>
      </c>
      <c r="B1912" s="310" t="s">
        <v>1363</v>
      </c>
      <c r="C1912" s="309">
        <v>42424</v>
      </c>
      <c r="D1912" s="308" t="s">
        <v>2976</v>
      </c>
      <c r="E1912" s="307">
        <v>1</v>
      </c>
      <c r="F1912" s="311">
        <v>400</v>
      </c>
      <c r="G1912" s="307">
        <v>97</v>
      </c>
    </row>
    <row r="1913" spans="1:7" x14ac:dyDescent="0.2">
      <c r="A1913" s="310" t="s">
        <v>1359</v>
      </c>
      <c r="B1913" s="310" t="s">
        <v>1363</v>
      </c>
      <c r="C1913" s="309">
        <v>42424</v>
      </c>
      <c r="D1913" s="308" t="s">
        <v>2979</v>
      </c>
      <c r="E1913" s="307">
        <v>1</v>
      </c>
      <c r="F1913" s="311">
        <v>400</v>
      </c>
      <c r="G1913" s="307">
        <v>97</v>
      </c>
    </row>
    <row r="1914" spans="1:7" x14ac:dyDescent="0.2">
      <c r="A1914" s="310" t="s">
        <v>1359</v>
      </c>
      <c r="B1914" s="310" t="s">
        <v>1363</v>
      </c>
      <c r="C1914" s="309">
        <v>42623</v>
      </c>
      <c r="D1914" s="308" t="s">
        <v>2996</v>
      </c>
      <c r="E1914" s="307">
        <v>1</v>
      </c>
      <c r="F1914" s="311">
        <v>400</v>
      </c>
      <c r="G1914" s="307">
        <v>97</v>
      </c>
    </row>
    <row r="1915" spans="1:7" x14ac:dyDescent="0.2">
      <c r="A1915" s="310" t="s">
        <v>1358</v>
      </c>
      <c r="B1915" s="310" t="s">
        <v>1375</v>
      </c>
      <c r="C1915" s="309">
        <v>42289</v>
      </c>
      <c r="D1915" s="308" t="s">
        <v>1406</v>
      </c>
      <c r="E1915" s="307">
        <v>1</v>
      </c>
      <c r="F1915" s="311">
        <v>300</v>
      </c>
      <c r="G1915" s="307">
        <v>97</v>
      </c>
    </row>
    <row r="1916" spans="1:7" x14ac:dyDescent="0.2">
      <c r="A1916" s="310" t="s">
        <v>1358</v>
      </c>
      <c r="B1916" s="310" t="s">
        <v>1375</v>
      </c>
      <c r="C1916" s="309">
        <v>42648</v>
      </c>
      <c r="D1916" s="308" t="s">
        <v>3071</v>
      </c>
      <c r="E1916" s="307">
        <v>1</v>
      </c>
      <c r="F1916" s="311">
        <v>320</v>
      </c>
      <c r="G1916" s="307">
        <v>97</v>
      </c>
    </row>
    <row r="1917" spans="1:7" x14ac:dyDescent="0.2">
      <c r="A1917" s="310" t="s">
        <v>1319</v>
      </c>
      <c r="B1917" s="310" t="s">
        <v>1371</v>
      </c>
      <c r="C1917" s="309">
        <v>42258</v>
      </c>
      <c r="D1917" s="308" t="s">
        <v>2010</v>
      </c>
      <c r="E1917" s="307">
        <v>1</v>
      </c>
      <c r="F1917" s="311">
        <v>100</v>
      </c>
      <c r="G1917" s="306">
        <f>94+(4)</f>
        <v>98</v>
      </c>
    </row>
    <row r="1918" spans="1:7" x14ac:dyDescent="0.2">
      <c r="A1918" s="310" t="s">
        <v>1319</v>
      </c>
      <c r="B1918" s="310" t="s">
        <v>1371</v>
      </c>
      <c r="C1918" s="309">
        <v>42476</v>
      </c>
      <c r="D1918" s="308" t="s">
        <v>2086</v>
      </c>
      <c r="E1918" s="307">
        <v>1</v>
      </c>
      <c r="F1918" s="311">
        <v>120</v>
      </c>
      <c r="G1918" s="306">
        <f>94+(4)</f>
        <v>98</v>
      </c>
    </row>
    <row r="1919" spans="1:7" x14ac:dyDescent="0.2">
      <c r="A1919" s="310" t="s">
        <v>1319</v>
      </c>
      <c r="B1919" s="310" t="s">
        <v>1371</v>
      </c>
      <c r="C1919" s="309">
        <v>42476</v>
      </c>
      <c r="D1919" s="308" t="s">
        <v>2114</v>
      </c>
      <c r="E1919" s="307">
        <v>1</v>
      </c>
      <c r="F1919" s="311">
        <v>120</v>
      </c>
      <c r="G1919" s="306">
        <f>94+(4)</f>
        <v>98</v>
      </c>
    </row>
    <row r="1920" spans="1:7" x14ac:dyDescent="0.2">
      <c r="A1920" s="310" t="s">
        <v>1319</v>
      </c>
      <c r="B1920" s="310" t="s">
        <v>1371</v>
      </c>
      <c r="C1920" s="309">
        <v>42476</v>
      </c>
      <c r="D1920" s="308" t="s">
        <v>2137</v>
      </c>
      <c r="E1920" s="307">
        <v>1</v>
      </c>
      <c r="F1920" s="311">
        <v>120</v>
      </c>
      <c r="G1920" s="306">
        <f>94+(4)</f>
        <v>98</v>
      </c>
    </row>
    <row r="1921" spans="1:7" x14ac:dyDescent="0.2">
      <c r="A1921" s="310" t="s">
        <v>1374</v>
      </c>
      <c r="B1921" s="310" t="s">
        <v>1369</v>
      </c>
      <c r="C1921" s="309">
        <v>42227</v>
      </c>
      <c r="D1921" s="308" t="s">
        <v>1960</v>
      </c>
      <c r="E1921" s="307">
        <v>1</v>
      </c>
      <c r="F1921" s="311">
        <v>300</v>
      </c>
      <c r="G1921" s="307">
        <v>98</v>
      </c>
    </row>
    <row r="1922" spans="1:7" x14ac:dyDescent="0.2">
      <c r="A1922" s="310" t="s">
        <v>1368</v>
      </c>
      <c r="B1922" s="310" t="s">
        <v>1367</v>
      </c>
      <c r="C1922" s="309">
        <v>42282</v>
      </c>
      <c r="D1922" s="308" t="s">
        <v>1770</v>
      </c>
      <c r="E1922" s="307">
        <v>1</v>
      </c>
      <c r="F1922" s="311">
        <v>200</v>
      </c>
      <c r="G1922" s="306">
        <v>98</v>
      </c>
    </row>
    <row r="1923" spans="1:7" x14ac:dyDescent="0.2">
      <c r="A1923" s="310" t="s">
        <v>1368</v>
      </c>
      <c r="B1923" s="310" t="s">
        <v>1371</v>
      </c>
      <c r="C1923" s="309">
        <v>42323</v>
      </c>
      <c r="D1923" s="308" t="s">
        <v>1888</v>
      </c>
      <c r="E1923" s="307">
        <v>1</v>
      </c>
      <c r="F1923" s="311">
        <v>200</v>
      </c>
      <c r="G1923" s="306">
        <f>94+(4)</f>
        <v>98</v>
      </c>
    </row>
    <row r="1924" spans="1:7" x14ac:dyDescent="0.2">
      <c r="A1924" s="310" t="s">
        <v>1368</v>
      </c>
      <c r="B1924" s="310" t="s">
        <v>1371</v>
      </c>
      <c r="C1924" s="309">
        <v>42323</v>
      </c>
      <c r="D1924" s="308" t="s">
        <v>1883</v>
      </c>
      <c r="E1924" s="307">
        <v>1</v>
      </c>
      <c r="F1924" s="311">
        <v>200</v>
      </c>
      <c r="G1924" s="306">
        <f>94+(4)</f>
        <v>98</v>
      </c>
    </row>
    <row r="1925" spans="1:7" x14ac:dyDescent="0.2">
      <c r="A1925" s="310" t="s">
        <v>1368</v>
      </c>
      <c r="B1925" s="310" t="s">
        <v>1367</v>
      </c>
      <c r="C1925" s="309">
        <v>42461</v>
      </c>
      <c r="D1925" s="308" t="s">
        <v>2501</v>
      </c>
      <c r="E1925" s="307">
        <v>1</v>
      </c>
      <c r="F1925" s="311">
        <v>200</v>
      </c>
      <c r="G1925" s="306">
        <v>98</v>
      </c>
    </row>
    <row r="1926" spans="1:7" x14ac:dyDescent="0.2">
      <c r="A1926" s="310" t="s">
        <v>1368</v>
      </c>
      <c r="B1926" s="310" t="s">
        <v>1367</v>
      </c>
      <c r="C1926" s="309">
        <v>42485</v>
      </c>
      <c r="D1926" s="308" t="s">
        <v>2509</v>
      </c>
      <c r="E1926" s="307">
        <v>1</v>
      </c>
      <c r="F1926" s="311">
        <v>200</v>
      </c>
      <c r="G1926" s="306">
        <v>98</v>
      </c>
    </row>
    <row r="1927" spans="1:7" x14ac:dyDescent="0.2">
      <c r="A1927" s="310" t="s">
        <v>1368</v>
      </c>
      <c r="B1927" s="310" t="s">
        <v>1367</v>
      </c>
      <c r="C1927" s="309">
        <v>42505</v>
      </c>
      <c r="D1927" s="308" t="s">
        <v>2540</v>
      </c>
      <c r="E1927" s="307">
        <v>1</v>
      </c>
      <c r="F1927" s="311">
        <v>200</v>
      </c>
      <c r="G1927" s="306">
        <v>98</v>
      </c>
    </row>
    <row r="1928" spans="1:7" x14ac:dyDescent="0.2">
      <c r="A1928" s="310" t="s">
        <v>1368</v>
      </c>
      <c r="B1928" s="310" t="s">
        <v>1367</v>
      </c>
      <c r="C1928" s="309">
        <v>42505</v>
      </c>
      <c r="D1928" s="308" t="s">
        <v>2536</v>
      </c>
      <c r="E1928" s="307">
        <v>1</v>
      </c>
      <c r="F1928" s="311">
        <v>200</v>
      </c>
      <c r="G1928" s="306">
        <v>98</v>
      </c>
    </row>
    <row r="1929" spans="1:7" x14ac:dyDescent="0.2">
      <c r="A1929" s="310" t="s">
        <v>1368</v>
      </c>
      <c r="B1929" s="310" t="s">
        <v>1367</v>
      </c>
      <c r="C1929" s="309">
        <v>42614</v>
      </c>
      <c r="D1929" s="308" t="s">
        <v>2633</v>
      </c>
      <c r="E1929" s="307">
        <v>1</v>
      </c>
      <c r="F1929" s="311">
        <v>200</v>
      </c>
      <c r="G1929" s="306">
        <v>98</v>
      </c>
    </row>
    <row r="1930" spans="1:7" x14ac:dyDescent="0.2">
      <c r="A1930" s="310" t="s">
        <v>1366</v>
      </c>
      <c r="B1930" s="310" t="s">
        <v>1376</v>
      </c>
      <c r="C1930" s="309">
        <v>42053</v>
      </c>
      <c r="D1930" s="308" t="s">
        <v>1691</v>
      </c>
      <c r="E1930" s="307">
        <v>1</v>
      </c>
      <c r="F1930" s="311">
        <v>350</v>
      </c>
      <c r="G1930" s="306">
        <v>98</v>
      </c>
    </row>
    <row r="1931" spans="1:7" x14ac:dyDescent="0.2">
      <c r="A1931" s="310" t="s">
        <v>1366</v>
      </c>
      <c r="B1931" s="310" t="s">
        <v>1376</v>
      </c>
      <c r="C1931" s="309">
        <v>42259</v>
      </c>
      <c r="D1931" s="308" t="s">
        <v>1459</v>
      </c>
      <c r="E1931" s="307">
        <v>1</v>
      </c>
      <c r="F1931" s="311">
        <v>350</v>
      </c>
      <c r="G1931" s="306">
        <v>98</v>
      </c>
    </row>
    <row r="1932" spans="1:7" x14ac:dyDescent="0.2">
      <c r="A1932" s="310" t="s">
        <v>1366</v>
      </c>
      <c r="B1932" s="310" t="s">
        <v>1376</v>
      </c>
      <c r="C1932" s="309">
        <v>42562</v>
      </c>
      <c r="D1932" s="308" t="s">
        <v>2682</v>
      </c>
      <c r="E1932" s="307">
        <v>1</v>
      </c>
      <c r="F1932" s="311">
        <v>380</v>
      </c>
      <c r="G1932" s="306">
        <v>98</v>
      </c>
    </row>
    <row r="1933" spans="1:7" x14ac:dyDescent="0.2">
      <c r="A1933" s="310" t="s">
        <v>1364</v>
      </c>
      <c r="B1933" s="310" t="s">
        <v>1367</v>
      </c>
      <c r="C1933" s="309">
        <v>42091</v>
      </c>
      <c r="D1933" s="308" t="s">
        <v>1489</v>
      </c>
      <c r="E1933" s="307">
        <v>1</v>
      </c>
      <c r="F1933" s="311">
        <v>600</v>
      </c>
      <c r="G1933" s="306">
        <v>98</v>
      </c>
    </row>
    <row r="1934" spans="1:7" x14ac:dyDescent="0.2">
      <c r="A1934" s="310" t="s">
        <v>1364</v>
      </c>
      <c r="B1934" s="310" t="s">
        <v>1367</v>
      </c>
      <c r="C1934" s="309">
        <v>42091</v>
      </c>
      <c r="D1934" s="308" t="s">
        <v>1684</v>
      </c>
      <c r="E1934" s="307">
        <v>1</v>
      </c>
      <c r="F1934" s="311">
        <v>600</v>
      </c>
      <c r="G1934" s="306">
        <v>98</v>
      </c>
    </row>
    <row r="1935" spans="1:7" x14ac:dyDescent="0.2">
      <c r="A1935" s="310" t="s">
        <v>1364</v>
      </c>
      <c r="B1935" s="310" t="s">
        <v>1371</v>
      </c>
      <c r="C1935" s="309">
        <v>42265</v>
      </c>
      <c r="D1935" s="308" t="s">
        <v>1696</v>
      </c>
      <c r="E1935" s="307">
        <v>1</v>
      </c>
      <c r="F1935" s="311">
        <v>600</v>
      </c>
      <c r="G1935" s="306">
        <f>94+(4)</f>
        <v>98</v>
      </c>
    </row>
    <row r="1936" spans="1:7" x14ac:dyDescent="0.2">
      <c r="A1936" s="310" t="s">
        <v>1364</v>
      </c>
      <c r="B1936" s="310" t="s">
        <v>1367</v>
      </c>
      <c r="C1936" s="309">
        <v>42638</v>
      </c>
      <c r="D1936" s="308" t="s">
        <v>2189</v>
      </c>
      <c r="E1936" s="307">
        <v>1</v>
      </c>
      <c r="F1936" s="311">
        <v>650</v>
      </c>
      <c r="G1936" s="306">
        <v>98</v>
      </c>
    </row>
    <row r="1937" spans="1:7" x14ac:dyDescent="0.2">
      <c r="A1937" s="310" t="s">
        <v>1364</v>
      </c>
      <c r="B1937" s="310" t="s">
        <v>1367</v>
      </c>
      <c r="C1937" s="309">
        <v>42638</v>
      </c>
      <c r="D1937" s="308" t="s">
        <v>2764</v>
      </c>
      <c r="E1937" s="307">
        <v>1</v>
      </c>
      <c r="F1937" s="311">
        <v>650</v>
      </c>
      <c r="G1937" s="306">
        <v>98</v>
      </c>
    </row>
    <row r="1938" spans="1:7" x14ac:dyDescent="0.2">
      <c r="A1938" s="310" t="s">
        <v>1364</v>
      </c>
      <c r="B1938" s="310" t="s">
        <v>1367</v>
      </c>
      <c r="C1938" s="309">
        <v>42638</v>
      </c>
      <c r="D1938" s="308" t="s">
        <v>2106</v>
      </c>
      <c r="E1938" s="307">
        <v>1</v>
      </c>
      <c r="F1938" s="311">
        <v>650</v>
      </c>
      <c r="G1938" s="306">
        <v>98</v>
      </c>
    </row>
    <row r="1939" spans="1:7" x14ac:dyDescent="0.2">
      <c r="A1939" s="310" t="s">
        <v>1360</v>
      </c>
      <c r="B1939" s="310" t="s">
        <v>1371</v>
      </c>
      <c r="C1939" s="309">
        <v>42022</v>
      </c>
      <c r="D1939" s="308" t="s">
        <v>1558</v>
      </c>
      <c r="E1939" s="307">
        <v>1</v>
      </c>
      <c r="F1939" s="311">
        <v>250</v>
      </c>
      <c r="G1939" s="306">
        <f>94+(4)</f>
        <v>98</v>
      </c>
    </row>
    <row r="1940" spans="1:7" x14ac:dyDescent="0.2">
      <c r="A1940" s="310" t="s">
        <v>1359</v>
      </c>
      <c r="B1940" s="310" t="s">
        <v>1363</v>
      </c>
      <c r="C1940" s="309">
        <v>42424</v>
      </c>
      <c r="D1940" s="308" t="s">
        <v>2968</v>
      </c>
      <c r="E1940" s="307">
        <v>1</v>
      </c>
      <c r="F1940" s="311">
        <v>400</v>
      </c>
      <c r="G1940" s="307">
        <v>98</v>
      </c>
    </row>
    <row r="1941" spans="1:7" x14ac:dyDescent="0.2">
      <c r="A1941" s="310" t="s">
        <v>1359</v>
      </c>
      <c r="B1941" s="310" t="s">
        <v>1363</v>
      </c>
      <c r="C1941" s="309">
        <v>42424</v>
      </c>
      <c r="D1941" s="308" t="s">
        <v>2937</v>
      </c>
      <c r="E1941" s="307">
        <v>1</v>
      </c>
      <c r="F1941" s="311">
        <v>400</v>
      </c>
      <c r="G1941" s="307">
        <v>98</v>
      </c>
    </row>
    <row r="1942" spans="1:7" x14ac:dyDescent="0.2">
      <c r="A1942" s="310" t="s">
        <v>1358</v>
      </c>
      <c r="B1942" s="310" t="s">
        <v>1375</v>
      </c>
      <c r="C1942" s="309">
        <v>42037</v>
      </c>
      <c r="D1942" s="308" t="s">
        <v>1455</v>
      </c>
      <c r="E1942" s="307">
        <v>1</v>
      </c>
      <c r="F1942" s="311">
        <v>300</v>
      </c>
      <c r="G1942" s="307">
        <v>98</v>
      </c>
    </row>
    <row r="1943" spans="1:7" x14ac:dyDescent="0.2">
      <c r="A1943" s="310" t="s">
        <v>1358</v>
      </c>
      <c r="B1943" s="310" t="s">
        <v>1375</v>
      </c>
      <c r="C1943" s="309">
        <v>42289</v>
      </c>
      <c r="D1943" s="308" t="s">
        <v>1431</v>
      </c>
      <c r="E1943" s="307">
        <v>1</v>
      </c>
      <c r="F1943" s="311">
        <v>300</v>
      </c>
      <c r="G1943" s="307">
        <v>98</v>
      </c>
    </row>
    <row r="1944" spans="1:7" x14ac:dyDescent="0.2">
      <c r="A1944" s="310" t="s">
        <v>1358</v>
      </c>
      <c r="B1944" s="310" t="s">
        <v>1375</v>
      </c>
      <c r="C1944" s="309">
        <v>42648</v>
      </c>
      <c r="D1944" s="308" t="s">
        <v>3062</v>
      </c>
      <c r="E1944" s="307">
        <v>1</v>
      </c>
      <c r="F1944" s="311">
        <v>320</v>
      </c>
      <c r="G1944" s="307">
        <v>98</v>
      </c>
    </row>
    <row r="1945" spans="1:7" x14ac:dyDescent="0.2">
      <c r="A1945" s="310" t="s">
        <v>1319</v>
      </c>
      <c r="B1945" s="310" t="s">
        <v>1371</v>
      </c>
      <c r="C1945" s="309">
        <v>42258</v>
      </c>
      <c r="D1945" s="308" t="s">
        <v>2013</v>
      </c>
      <c r="E1945" s="307">
        <v>1</v>
      </c>
      <c r="F1945" s="311">
        <v>100</v>
      </c>
      <c r="G1945" s="306">
        <f>95+(4)</f>
        <v>99</v>
      </c>
    </row>
    <row r="1946" spans="1:7" x14ac:dyDescent="0.2">
      <c r="A1946" s="310" t="s">
        <v>1319</v>
      </c>
      <c r="B1946" s="310" t="s">
        <v>1371</v>
      </c>
      <c r="C1946" s="309">
        <v>42258</v>
      </c>
      <c r="D1946" s="308" t="s">
        <v>1411</v>
      </c>
      <c r="E1946" s="307">
        <v>1</v>
      </c>
      <c r="F1946" s="311">
        <v>100</v>
      </c>
      <c r="G1946" s="306">
        <f>95+(4)</f>
        <v>99</v>
      </c>
    </row>
    <row r="1947" spans="1:7" x14ac:dyDescent="0.2">
      <c r="A1947" s="310" t="s">
        <v>1319</v>
      </c>
      <c r="B1947" s="310" t="s">
        <v>1367</v>
      </c>
      <c r="C1947" s="309">
        <v>42332</v>
      </c>
      <c r="D1947" s="308" t="s">
        <v>1998</v>
      </c>
      <c r="E1947" s="307">
        <v>1</v>
      </c>
      <c r="F1947" s="311">
        <v>100</v>
      </c>
      <c r="G1947" s="306">
        <v>99</v>
      </c>
    </row>
    <row r="1948" spans="1:7" x14ac:dyDescent="0.2">
      <c r="A1948" s="310" t="s">
        <v>1374</v>
      </c>
      <c r="B1948" s="310" t="s">
        <v>1369</v>
      </c>
      <c r="C1948" s="309">
        <v>42531</v>
      </c>
      <c r="D1948" s="308" t="s">
        <v>2244</v>
      </c>
      <c r="E1948" s="307">
        <v>1</v>
      </c>
      <c r="F1948" s="311">
        <v>320</v>
      </c>
      <c r="G1948" s="307">
        <v>99</v>
      </c>
    </row>
    <row r="1949" spans="1:7" x14ac:dyDescent="0.2">
      <c r="A1949" s="310" t="s">
        <v>1372</v>
      </c>
      <c r="B1949" s="310" t="s">
        <v>1363</v>
      </c>
      <c r="C1949" s="309">
        <v>42271</v>
      </c>
      <c r="D1949" s="308" t="s">
        <v>1703</v>
      </c>
      <c r="E1949" s="307">
        <v>1</v>
      </c>
      <c r="F1949" s="311">
        <v>300</v>
      </c>
      <c r="G1949" s="307">
        <v>99</v>
      </c>
    </row>
    <row r="1950" spans="1:7" x14ac:dyDescent="0.2">
      <c r="A1950" s="310" t="s">
        <v>1372</v>
      </c>
      <c r="B1950" s="310" t="s">
        <v>1363</v>
      </c>
      <c r="C1950" s="309">
        <v>42685</v>
      </c>
      <c r="D1950" s="308" t="s">
        <v>2277</v>
      </c>
      <c r="E1950" s="307">
        <v>1</v>
      </c>
      <c r="F1950" s="311">
        <v>310</v>
      </c>
      <c r="G1950" s="307">
        <v>99</v>
      </c>
    </row>
    <row r="1951" spans="1:7" x14ac:dyDescent="0.2">
      <c r="A1951" s="310" t="s">
        <v>1368</v>
      </c>
      <c r="B1951" s="310" t="s">
        <v>1367</v>
      </c>
      <c r="C1951" s="309">
        <v>42068</v>
      </c>
      <c r="D1951" s="308" t="s">
        <v>1812</v>
      </c>
      <c r="E1951" s="307">
        <v>1</v>
      </c>
      <c r="F1951" s="311">
        <v>200</v>
      </c>
      <c r="G1951" s="306">
        <v>99</v>
      </c>
    </row>
    <row r="1952" spans="1:7" x14ac:dyDescent="0.2">
      <c r="A1952" s="310" t="s">
        <v>1368</v>
      </c>
      <c r="B1952" s="310" t="s">
        <v>1371</v>
      </c>
      <c r="C1952" s="309">
        <v>42323</v>
      </c>
      <c r="D1952" s="308" t="s">
        <v>1452</v>
      </c>
      <c r="E1952" s="307">
        <v>1</v>
      </c>
      <c r="F1952" s="311">
        <v>200</v>
      </c>
      <c r="G1952" s="306">
        <f>95+(4)</f>
        <v>99</v>
      </c>
    </row>
    <row r="1953" spans="1:7" x14ac:dyDescent="0.2">
      <c r="A1953" s="310" t="s">
        <v>1368</v>
      </c>
      <c r="B1953" s="310" t="s">
        <v>1371</v>
      </c>
      <c r="C1953" s="309">
        <v>42340</v>
      </c>
      <c r="D1953" s="308" t="s">
        <v>1850</v>
      </c>
      <c r="E1953" s="307">
        <v>1</v>
      </c>
      <c r="F1953" s="311">
        <v>200</v>
      </c>
      <c r="G1953" s="306">
        <f>95+(4)</f>
        <v>99</v>
      </c>
    </row>
    <row r="1954" spans="1:7" x14ac:dyDescent="0.2">
      <c r="A1954" s="310" t="s">
        <v>1368</v>
      </c>
      <c r="B1954" s="310" t="s">
        <v>1367</v>
      </c>
      <c r="C1954" s="309">
        <v>42461</v>
      </c>
      <c r="D1954" s="308" t="s">
        <v>2498</v>
      </c>
      <c r="E1954" s="307">
        <v>1</v>
      </c>
      <c r="F1954" s="311">
        <v>200</v>
      </c>
      <c r="G1954" s="306">
        <v>99</v>
      </c>
    </row>
    <row r="1955" spans="1:7" x14ac:dyDescent="0.2">
      <c r="A1955" s="310" t="s">
        <v>1368</v>
      </c>
      <c r="B1955" s="310" t="s">
        <v>1367</v>
      </c>
      <c r="C1955" s="309">
        <v>42485</v>
      </c>
      <c r="D1955" s="308" t="s">
        <v>2502</v>
      </c>
      <c r="E1955" s="307">
        <v>1</v>
      </c>
      <c r="F1955" s="311">
        <v>200</v>
      </c>
      <c r="G1955" s="306">
        <v>99</v>
      </c>
    </row>
    <row r="1956" spans="1:7" x14ac:dyDescent="0.2">
      <c r="A1956" s="310" t="s">
        <v>1368</v>
      </c>
      <c r="B1956" s="310" t="s">
        <v>1367</v>
      </c>
      <c r="C1956" s="309">
        <v>42627</v>
      </c>
      <c r="D1956" s="308" t="s">
        <v>2650</v>
      </c>
      <c r="E1956" s="307">
        <v>1</v>
      </c>
      <c r="F1956" s="311">
        <v>200</v>
      </c>
      <c r="G1956" s="306">
        <v>99</v>
      </c>
    </row>
    <row r="1957" spans="1:7" x14ac:dyDescent="0.2">
      <c r="A1957" s="310" t="s">
        <v>1366</v>
      </c>
      <c r="B1957" s="310" t="s">
        <v>1376</v>
      </c>
      <c r="C1957" s="309">
        <v>42562</v>
      </c>
      <c r="D1957" s="308" t="s">
        <v>2660</v>
      </c>
      <c r="E1957" s="307">
        <v>1</v>
      </c>
      <c r="F1957" s="311">
        <v>380</v>
      </c>
      <c r="G1957" s="306">
        <v>99</v>
      </c>
    </row>
    <row r="1958" spans="1:7" x14ac:dyDescent="0.2">
      <c r="A1958" s="310" t="s">
        <v>1364</v>
      </c>
      <c r="B1958" s="310" t="s">
        <v>1367</v>
      </c>
      <c r="C1958" s="309">
        <v>42091</v>
      </c>
      <c r="D1958" s="308" t="s">
        <v>1653</v>
      </c>
      <c r="E1958" s="307">
        <v>1</v>
      </c>
      <c r="F1958" s="311">
        <v>600</v>
      </c>
      <c r="G1958" s="306">
        <v>99</v>
      </c>
    </row>
    <row r="1959" spans="1:7" x14ac:dyDescent="0.2">
      <c r="A1959" s="310" t="s">
        <v>1364</v>
      </c>
      <c r="B1959" s="310" t="s">
        <v>1367</v>
      </c>
      <c r="C1959" s="309">
        <v>42091</v>
      </c>
      <c r="D1959" s="308" t="s">
        <v>1531</v>
      </c>
      <c r="E1959" s="307">
        <v>1</v>
      </c>
      <c r="F1959" s="311">
        <v>600</v>
      </c>
      <c r="G1959" s="306">
        <v>99</v>
      </c>
    </row>
    <row r="1960" spans="1:7" x14ac:dyDescent="0.2">
      <c r="A1960" s="310" t="s">
        <v>1364</v>
      </c>
      <c r="B1960" s="310" t="s">
        <v>1367</v>
      </c>
      <c r="C1960" s="309">
        <v>42091</v>
      </c>
      <c r="D1960" s="308" t="s">
        <v>1686</v>
      </c>
      <c r="E1960" s="307">
        <v>1</v>
      </c>
      <c r="F1960" s="311">
        <v>600</v>
      </c>
      <c r="G1960" s="306">
        <v>99</v>
      </c>
    </row>
    <row r="1961" spans="1:7" x14ac:dyDescent="0.2">
      <c r="A1961" s="310" t="s">
        <v>1360</v>
      </c>
      <c r="B1961" s="310" t="s">
        <v>1371</v>
      </c>
      <c r="C1961" s="309">
        <v>42504</v>
      </c>
      <c r="D1961" s="308" t="s">
        <v>2911</v>
      </c>
      <c r="E1961" s="307">
        <v>1</v>
      </c>
      <c r="F1961" s="311">
        <v>275</v>
      </c>
      <c r="G1961" s="306">
        <f>95+(4)</f>
        <v>99</v>
      </c>
    </row>
    <row r="1962" spans="1:7" x14ac:dyDescent="0.2">
      <c r="A1962" s="310" t="s">
        <v>1359</v>
      </c>
      <c r="B1962" s="310" t="s">
        <v>1363</v>
      </c>
      <c r="C1962" s="309">
        <v>42064</v>
      </c>
      <c r="D1962" s="308" t="s">
        <v>1513</v>
      </c>
      <c r="E1962" s="307">
        <v>1</v>
      </c>
      <c r="F1962" s="311">
        <v>400</v>
      </c>
      <c r="G1962" s="307">
        <v>99</v>
      </c>
    </row>
    <row r="1963" spans="1:7" x14ac:dyDescent="0.2">
      <c r="A1963" s="310" t="s">
        <v>1359</v>
      </c>
      <c r="B1963" s="310" t="s">
        <v>1363</v>
      </c>
      <c r="C1963" s="309">
        <v>42424</v>
      </c>
      <c r="D1963" s="308" t="s">
        <v>2934</v>
      </c>
      <c r="E1963" s="307">
        <v>1</v>
      </c>
      <c r="F1963" s="311">
        <v>400</v>
      </c>
      <c r="G1963" s="307">
        <v>99</v>
      </c>
    </row>
    <row r="1964" spans="1:7" x14ac:dyDescent="0.2">
      <c r="A1964" s="310" t="s">
        <v>1358</v>
      </c>
      <c r="B1964" s="310" t="s">
        <v>1375</v>
      </c>
      <c r="C1964" s="309">
        <v>42289</v>
      </c>
      <c r="D1964" s="308" t="s">
        <v>1438</v>
      </c>
      <c r="E1964" s="307">
        <v>1</v>
      </c>
      <c r="F1964" s="311">
        <v>300</v>
      </c>
      <c r="G1964" s="307">
        <v>99</v>
      </c>
    </row>
    <row r="1965" spans="1:7" x14ac:dyDescent="0.2">
      <c r="A1965" s="310" t="s">
        <v>1358</v>
      </c>
      <c r="B1965" s="310" t="s">
        <v>1375</v>
      </c>
      <c r="C1965" s="309">
        <v>42289</v>
      </c>
      <c r="D1965" s="308" t="s">
        <v>1433</v>
      </c>
      <c r="E1965" s="307">
        <v>1</v>
      </c>
      <c r="F1965" s="311">
        <v>300</v>
      </c>
      <c r="G1965" s="307">
        <v>99</v>
      </c>
    </row>
    <row r="1966" spans="1:7" x14ac:dyDescent="0.2">
      <c r="A1966" s="310" t="s">
        <v>1358</v>
      </c>
      <c r="B1966" s="310" t="s">
        <v>1375</v>
      </c>
      <c r="C1966" s="309">
        <v>42460</v>
      </c>
      <c r="D1966" s="308" t="s">
        <v>3020</v>
      </c>
      <c r="E1966" s="307">
        <v>1</v>
      </c>
      <c r="F1966" s="311">
        <v>320</v>
      </c>
      <c r="G1966" s="307">
        <v>99</v>
      </c>
    </row>
    <row r="1967" spans="1:7" x14ac:dyDescent="0.2">
      <c r="A1967" s="310" t="s">
        <v>1358</v>
      </c>
      <c r="B1967" s="310" t="s">
        <v>1375</v>
      </c>
      <c r="C1967" s="309">
        <v>42544</v>
      </c>
      <c r="D1967" s="308" t="s">
        <v>3055</v>
      </c>
      <c r="E1967" s="307">
        <v>1</v>
      </c>
      <c r="F1967" s="311">
        <v>320</v>
      </c>
      <c r="G1967" s="307">
        <v>99</v>
      </c>
    </row>
    <row r="1968" spans="1:7" x14ac:dyDescent="0.2">
      <c r="A1968" s="310" t="s">
        <v>1319</v>
      </c>
      <c r="B1968" s="310" t="s">
        <v>1371</v>
      </c>
      <c r="C1968" s="309">
        <v>42258</v>
      </c>
      <c r="D1968" s="308" t="s">
        <v>1861</v>
      </c>
      <c r="E1968" s="307">
        <v>1</v>
      </c>
      <c r="F1968" s="311">
        <v>100</v>
      </c>
      <c r="G1968" s="306">
        <f>96+(4)</f>
        <v>100</v>
      </c>
    </row>
    <row r="1969" spans="1:7" x14ac:dyDescent="0.2">
      <c r="A1969" s="310" t="s">
        <v>1319</v>
      </c>
      <c r="B1969" s="310" t="s">
        <v>1367</v>
      </c>
      <c r="C1969" s="309">
        <v>42332</v>
      </c>
      <c r="D1969" s="308" t="s">
        <v>1996</v>
      </c>
      <c r="E1969" s="307">
        <v>1</v>
      </c>
      <c r="F1969" s="311">
        <v>100</v>
      </c>
      <c r="G1969" s="306">
        <v>100</v>
      </c>
    </row>
    <row r="1970" spans="1:7" x14ac:dyDescent="0.2">
      <c r="A1970" s="310" t="s">
        <v>1319</v>
      </c>
      <c r="B1970" s="310" t="s">
        <v>1367</v>
      </c>
      <c r="C1970" s="309">
        <v>42332</v>
      </c>
      <c r="D1970" s="308" t="s">
        <v>1841</v>
      </c>
      <c r="E1970" s="307">
        <v>1</v>
      </c>
      <c r="F1970" s="311">
        <v>100</v>
      </c>
      <c r="G1970" s="306">
        <v>100</v>
      </c>
    </row>
    <row r="1971" spans="1:7" x14ac:dyDescent="0.2">
      <c r="A1971" s="310" t="s">
        <v>1319</v>
      </c>
      <c r="B1971" s="310" t="s">
        <v>1367</v>
      </c>
      <c r="C1971" s="309">
        <v>42332</v>
      </c>
      <c r="D1971" s="308" t="s">
        <v>1452</v>
      </c>
      <c r="E1971" s="307">
        <v>1</v>
      </c>
      <c r="F1971" s="311">
        <v>100</v>
      </c>
      <c r="G1971" s="307">
        <v>100</v>
      </c>
    </row>
    <row r="1972" spans="1:7" x14ac:dyDescent="0.2">
      <c r="A1972" s="310" t="s">
        <v>1319</v>
      </c>
      <c r="B1972" s="310" t="s">
        <v>1367</v>
      </c>
      <c r="C1972" s="309">
        <v>42332</v>
      </c>
      <c r="D1972" s="308" t="s">
        <v>1475</v>
      </c>
      <c r="E1972" s="307">
        <v>1</v>
      </c>
      <c r="F1972" s="311">
        <v>100</v>
      </c>
      <c r="G1972" s="307">
        <v>100</v>
      </c>
    </row>
    <row r="1973" spans="1:7" x14ac:dyDescent="0.2">
      <c r="A1973" s="310" t="s">
        <v>1319</v>
      </c>
      <c r="B1973" s="310" t="s">
        <v>1371</v>
      </c>
      <c r="C1973" s="309">
        <v>42476</v>
      </c>
      <c r="D1973" s="308" t="s">
        <v>2132</v>
      </c>
      <c r="E1973" s="307">
        <v>1</v>
      </c>
      <c r="F1973" s="311">
        <v>120</v>
      </c>
      <c r="G1973" s="306">
        <f>96+(4)</f>
        <v>100</v>
      </c>
    </row>
    <row r="1974" spans="1:7" x14ac:dyDescent="0.2">
      <c r="A1974" s="310" t="s">
        <v>1319</v>
      </c>
      <c r="B1974" s="310" t="s">
        <v>1367</v>
      </c>
      <c r="C1974" s="309">
        <v>42666</v>
      </c>
      <c r="D1974" s="308" t="s">
        <v>2154</v>
      </c>
      <c r="E1974" s="307">
        <v>1</v>
      </c>
      <c r="F1974" s="311">
        <v>120</v>
      </c>
      <c r="G1974" s="307">
        <v>100</v>
      </c>
    </row>
    <row r="1975" spans="1:7" x14ac:dyDescent="0.2">
      <c r="A1975" s="310" t="s">
        <v>1374</v>
      </c>
      <c r="B1975" s="310" t="s">
        <v>1369</v>
      </c>
      <c r="C1975" s="309">
        <v>42227</v>
      </c>
      <c r="D1975" s="308" t="s">
        <v>1966</v>
      </c>
      <c r="E1975" s="307">
        <v>1</v>
      </c>
      <c r="F1975" s="311">
        <v>300</v>
      </c>
      <c r="G1975" s="307">
        <v>100</v>
      </c>
    </row>
    <row r="1976" spans="1:7" x14ac:dyDescent="0.2">
      <c r="A1976" s="310" t="s">
        <v>1374</v>
      </c>
      <c r="B1976" s="310" t="s">
        <v>1369</v>
      </c>
      <c r="C1976" s="309">
        <v>42531</v>
      </c>
      <c r="D1976" s="308" t="s">
        <v>2236</v>
      </c>
      <c r="E1976" s="307">
        <v>1</v>
      </c>
      <c r="F1976" s="311">
        <v>320</v>
      </c>
      <c r="G1976" s="307">
        <v>100</v>
      </c>
    </row>
    <row r="1977" spans="1:7" x14ac:dyDescent="0.2">
      <c r="A1977" s="310" t="s">
        <v>1374</v>
      </c>
      <c r="B1977" s="310" t="s">
        <v>1369</v>
      </c>
      <c r="C1977" s="309">
        <v>42531</v>
      </c>
      <c r="D1977" s="308" t="s">
        <v>2225</v>
      </c>
      <c r="E1977" s="307">
        <v>1</v>
      </c>
      <c r="F1977" s="311">
        <v>320</v>
      </c>
      <c r="G1977" s="307">
        <v>100</v>
      </c>
    </row>
    <row r="1978" spans="1:7" x14ac:dyDescent="0.2">
      <c r="A1978" s="310" t="s">
        <v>1372</v>
      </c>
      <c r="B1978" s="310" t="s">
        <v>1363</v>
      </c>
      <c r="C1978" s="309">
        <v>42685</v>
      </c>
      <c r="D1978" s="308" t="s">
        <v>2279</v>
      </c>
      <c r="E1978" s="307">
        <v>1</v>
      </c>
      <c r="F1978" s="311">
        <v>310</v>
      </c>
      <c r="G1978" s="307">
        <v>100</v>
      </c>
    </row>
    <row r="1979" spans="1:7" x14ac:dyDescent="0.2">
      <c r="A1979" s="310" t="s">
        <v>1368</v>
      </c>
      <c r="B1979" s="310" t="s">
        <v>1367</v>
      </c>
      <c r="C1979" s="309">
        <v>42068</v>
      </c>
      <c r="D1979" s="308" t="s">
        <v>1670</v>
      </c>
      <c r="E1979" s="307">
        <v>1</v>
      </c>
      <c r="F1979" s="311">
        <v>200</v>
      </c>
      <c r="G1979" s="306">
        <v>100</v>
      </c>
    </row>
    <row r="1980" spans="1:7" x14ac:dyDescent="0.2">
      <c r="A1980" s="310" t="s">
        <v>1368</v>
      </c>
      <c r="B1980" s="310" t="s">
        <v>1367</v>
      </c>
      <c r="C1980" s="309">
        <v>42068</v>
      </c>
      <c r="D1980" s="308" t="s">
        <v>1483</v>
      </c>
      <c r="E1980" s="307">
        <v>1</v>
      </c>
      <c r="F1980" s="311">
        <v>200</v>
      </c>
      <c r="G1980" s="307">
        <v>100</v>
      </c>
    </row>
    <row r="1981" spans="1:7" x14ac:dyDescent="0.2">
      <c r="A1981" s="310" t="s">
        <v>1368</v>
      </c>
      <c r="B1981" s="310" t="s">
        <v>1367</v>
      </c>
      <c r="C1981" s="309">
        <v>42170</v>
      </c>
      <c r="D1981" s="308" t="s">
        <v>1464</v>
      </c>
      <c r="E1981" s="307">
        <v>1</v>
      </c>
      <c r="F1981" s="311">
        <v>200</v>
      </c>
      <c r="G1981" s="306">
        <v>100</v>
      </c>
    </row>
    <row r="1982" spans="1:7" x14ac:dyDescent="0.2">
      <c r="A1982" s="310" t="s">
        <v>1368</v>
      </c>
      <c r="B1982" s="310" t="s">
        <v>1367</v>
      </c>
      <c r="C1982" s="309">
        <v>42490</v>
      </c>
      <c r="D1982" s="308" t="s">
        <v>2515</v>
      </c>
      <c r="E1982" s="307">
        <v>1</v>
      </c>
      <c r="F1982" s="311">
        <v>200</v>
      </c>
      <c r="G1982" s="306">
        <v>100</v>
      </c>
    </row>
    <row r="1983" spans="1:7" x14ac:dyDescent="0.2">
      <c r="A1983" s="310" t="s">
        <v>1368</v>
      </c>
      <c r="B1983" s="310" t="s">
        <v>1367</v>
      </c>
      <c r="C1983" s="309">
        <v>42505</v>
      </c>
      <c r="D1983" s="308" t="s">
        <v>2535</v>
      </c>
      <c r="E1983" s="307">
        <v>1</v>
      </c>
      <c r="F1983" s="311">
        <v>200</v>
      </c>
      <c r="G1983" s="307">
        <v>100</v>
      </c>
    </row>
    <row r="1984" spans="1:7" x14ac:dyDescent="0.2">
      <c r="A1984" s="310" t="s">
        <v>1368</v>
      </c>
      <c r="B1984" s="310" t="s">
        <v>1367</v>
      </c>
      <c r="C1984" s="309">
        <v>42545</v>
      </c>
      <c r="D1984" s="308" t="s">
        <v>2580</v>
      </c>
      <c r="E1984" s="307">
        <v>1</v>
      </c>
      <c r="F1984" s="311">
        <v>200</v>
      </c>
      <c r="G1984" s="307">
        <v>100</v>
      </c>
    </row>
    <row r="1985" spans="1:7" x14ac:dyDescent="0.2">
      <c r="A1985" s="310" t="s">
        <v>1368</v>
      </c>
      <c r="B1985" s="310" t="s">
        <v>1367</v>
      </c>
      <c r="C1985" s="309">
        <v>42545</v>
      </c>
      <c r="D1985" s="308" t="s">
        <v>2571</v>
      </c>
      <c r="E1985" s="307">
        <v>1</v>
      </c>
      <c r="F1985" s="311">
        <v>200</v>
      </c>
      <c r="G1985" s="307">
        <v>100</v>
      </c>
    </row>
    <row r="1986" spans="1:7" x14ac:dyDescent="0.2">
      <c r="A1986" s="310" t="s">
        <v>1368</v>
      </c>
      <c r="B1986" s="310" t="s">
        <v>1367</v>
      </c>
      <c r="C1986" s="309">
        <v>42614</v>
      </c>
      <c r="D1986" s="308" t="s">
        <v>2635</v>
      </c>
      <c r="E1986" s="307">
        <v>1</v>
      </c>
      <c r="F1986" s="311">
        <v>200</v>
      </c>
      <c r="G1986" s="306">
        <v>100</v>
      </c>
    </row>
    <row r="1987" spans="1:7" x14ac:dyDescent="0.2">
      <c r="A1987" s="310" t="s">
        <v>1368</v>
      </c>
      <c r="B1987" s="310" t="s">
        <v>1367</v>
      </c>
      <c r="C1987" s="309">
        <v>42627</v>
      </c>
      <c r="D1987" s="308" t="s">
        <v>2645</v>
      </c>
      <c r="E1987" s="307">
        <v>1</v>
      </c>
      <c r="F1987" s="311">
        <v>200</v>
      </c>
      <c r="G1987" s="307">
        <v>100</v>
      </c>
    </row>
    <row r="1988" spans="1:7" x14ac:dyDescent="0.2">
      <c r="A1988" s="310" t="s">
        <v>1364</v>
      </c>
      <c r="B1988" s="310" t="s">
        <v>1367</v>
      </c>
      <c r="C1988" s="309">
        <v>42091</v>
      </c>
      <c r="D1988" s="308" t="s">
        <v>1693</v>
      </c>
      <c r="E1988" s="307">
        <v>1</v>
      </c>
      <c r="F1988" s="311">
        <v>600</v>
      </c>
      <c r="G1988" s="306">
        <v>100</v>
      </c>
    </row>
    <row r="1989" spans="1:7" x14ac:dyDescent="0.2">
      <c r="A1989" s="310" t="s">
        <v>1364</v>
      </c>
      <c r="B1989" s="310" t="s">
        <v>1371</v>
      </c>
      <c r="C1989" s="309">
        <v>42430</v>
      </c>
      <c r="D1989" s="308" t="s">
        <v>2715</v>
      </c>
      <c r="E1989" s="307">
        <v>1</v>
      </c>
      <c r="F1989" s="311">
        <v>650</v>
      </c>
      <c r="G1989" s="306">
        <f>96+(4)</f>
        <v>100</v>
      </c>
    </row>
    <row r="1990" spans="1:7" x14ac:dyDescent="0.2">
      <c r="A1990" s="310" t="s">
        <v>1364</v>
      </c>
      <c r="B1990" s="310" t="s">
        <v>1367</v>
      </c>
      <c r="C1990" s="309">
        <v>42638</v>
      </c>
      <c r="D1990" s="308" t="s">
        <v>2796</v>
      </c>
      <c r="E1990" s="307">
        <v>1</v>
      </c>
      <c r="F1990" s="311">
        <v>650</v>
      </c>
      <c r="G1990" s="306">
        <v>100</v>
      </c>
    </row>
    <row r="1991" spans="1:7" x14ac:dyDescent="0.2">
      <c r="A1991" s="310" t="s">
        <v>1364</v>
      </c>
      <c r="B1991" s="310" t="s">
        <v>1367</v>
      </c>
      <c r="C1991" s="309">
        <v>42638</v>
      </c>
      <c r="D1991" s="308" t="s">
        <v>2771</v>
      </c>
      <c r="E1991" s="307">
        <v>1</v>
      </c>
      <c r="F1991" s="311">
        <v>650</v>
      </c>
      <c r="G1991" s="307">
        <v>100</v>
      </c>
    </row>
    <row r="1992" spans="1:7" x14ac:dyDescent="0.2">
      <c r="A1992" s="310" t="s">
        <v>1364</v>
      </c>
      <c r="B1992" s="310" t="s">
        <v>1367</v>
      </c>
      <c r="C1992" s="309">
        <v>42638</v>
      </c>
      <c r="D1992" s="308" t="s">
        <v>2743</v>
      </c>
      <c r="E1992" s="307">
        <v>1</v>
      </c>
      <c r="F1992" s="311">
        <v>650</v>
      </c>
      <c r="G1992" s="307">
        <v>100</v>
      </c>
    </row>
    <row r="1993" spans="1:7" x14ac:dyDescent="0.2">
      <c r="A1993" s="310" t="s">
        <v>1360</v>
      </c>
      <c r="B1993" s="310" t="s">
        <v>1371</v>
      </c>
      <c r="C1993" s="309">
        <v>42022</v>
      </c>
      <c r="D1993" s="308" t="s">
        <v>1559</v>
      </c>
      <c r="E1993" s="307">
        <v>1</v>
      </c>
      <c r="F1993" s="311">
        <v>250</v>
      </c>
      <c r="G1993" s="306">
        <f>96+(4)</f>
        <v>100</v>
      </c>
    </row>
    <row r="1994" spans="1:7" x14ac:dyDescent="0.2">
      <c r="A1994" s="310" t="s">
        <v>1360</v>
      </c>
      <c r="B1994" s="310" t="s">
        <v>1371</v>
      </c>
      <c r="C1994" s="309">
        <v>42504</v>
      </c>
      <c r="D1994" s="308" t="s">
        <v>2917</v>
      </c>
      <c r="E1994" s="307">
        <v>1</v>
      </c>
      <c r="F1994" s="311">
        <v>275</v>
      </c>
      <c r="G1994" s="306">
        <f>96+(4)</f>
        <v>100</v>
      </c>
    </row>
    <row r="1995" spans="1:7" x14ac:dyDescent="0.2">
      <c r="A1995" s="310" t="s">
        <v>1360</v>
      </c>
      <c r="B1995" s="310" t="s">
        <v>1371</v>
      </c>
      <c r="C1995" s="309">
        <v>42504</v>
      </c>
      <c r="D1995" s="308" t="s">
        <v>2932</v>
      </c>
      <c r="E1995" s="307">
        <v>1</v>
      </c>
      <c r="F1995" s="311">
        <v>275</v>
      </c>
      <c r="G1995" s="307">
        <v>100</v>
      </c>
    </row>
    <row r="1996" spans="1:7" x14ac:dyDescent="0.2">
      <c r="A1996" s="310" t="s">
        <v>1359</v>
      </c>
      <c r="B1996" s="310" t="s">
        <v>1363</v>
      </c>
      <c r="C1996" s="309">
        <v>42064</v>
      </c>
      <c r="D1996" s="308" t="s">
        <v>1538</v>
      </c>
      <c r="E1996" s="307">
        <v>1</v>
      </c>
      <c r="F1996" s="311">
        <v>400</v>
      </c>
      <c r="G1996" s="307">
        <v>100</v>
      </c>
    </row>
    <row r="1997" spans="1:7" x14ac:dyDescent="0.2">
      <c r="A1997" s="310" t="s">
        <v>1358</v>
      </c>
      <c r="B1997" s="310" t="s">
        <v>1375</v>
      </c>
      <c r="C1997" s="309">
        <v>42289</v>
      </c>
      <c r="D1997" s="308" t="s">
        <v>1437</v>
      </c>
      <c r="E1997" s="307">
        <v>1</v>
      </c>
      <c r="F1997" s="311">
        <v>300</v>
      </c>
      <c r="G1997" s="307">
        <v>100</v>
      </c>
    </row>
    <row r="1998" spans="1:7" x14ac:dyDescent="0.2">
      <c r="A1998" s="310" t="s">
        <v>1319</v>
      </c>
      <c r="B1998" s="310" t="s">
        <v>1371</v>
      </c>
      <c r="C1998" s="309">
        <v>42476</v>
      </c>
      <c r="D1998" s="308" t="s">
        <v>2106</v>
      </c>
      <c r="E1998" s="307">
        <v>1</v>
      </c>
      <c r="F1998" s="311">
        <v>120</v>
      </c>
      <c r="G1998" s="306">
        <v>100</v>
      </c>
    </row>
    <row r="1999" spans="1:7" x14ac:dyDescent="0.2">
      <c r="A1999" s="310" t="s">
        <v>1368</v>
      </c>
      <c r="B1999" s="310" t="s">
        <v>1367</v>
      </c>
      <c r="C1999" s="309">
        <v>42068</v>
      </c>
      <c r="D1999" s="308" t="s">
        <v>1398</v>
      </c>
      <c r="E1999" s="307">
        <v>1</v>
      </c>
      <c r="F1999" s="311">
        <v>200</v>
      </c>
      <c r="G1999" s="306">
        <v>100</v>
      </c>
    </row>
    <row r="2000" spans="1:7" x14ac:dyDescent="0.2">
      <c r="A2000" s="310" t="s">
        <v>1368</v>
      </c>
      <c r="B2000" s="310" t="s">
        <v>1367</v>
      </c>
      <c r="C2000" s="309">
        <v>42170</v>
      </c>
      <c r="D2000" s="308" t="s">
        <v>1810</v>
      </c>
      <c r="E2000" s="307">
        <v>1</v>
      </c>
      <c r="F2000" s="311">
        <v>200</v>
      </c>
      <c r="G2000" s="306">
        <v>100</v>
      </c>
    </row>
    <row r="2001" spans="1:7" x14ac:dyDescent="0.2">
      <c r="A2001" s="310" t="s">
        <v>1368</v>
      </c>
      <c r="B2001" s="310" t="s">
        <v>1371</v>
      </c>
      <c r="C2001" s="309">
        <v>42323</v>
      </c>
      <c r="D2001" s="308" t="s">
        <v>1697</v>
      </c>
      <c r="E2001" s="307">
        <v>1</v>
      </c>
      <c r="F2001" s="311">
        <v>200</v>
      </c>
      <c r="G2001" s="306">
        <v>100</v>
      </c>
    </row>
    <row r="2002" spans="1:7" x14ac:dyDescent="0.2">
      <c r="A2002" s="310" t="s">
        <v>1368</v>
      </c>
      <c r="B2002" s="310" t="s">
        <v>1371</v>
      </c>
      <c r="C2002" s="309">
        <v>42323</v>
      </c>
      <c r="D2002" s="308" t="s">
        <v>1872</v>
      </c>
      <c r="E2002" s="307">
        <v>1</v>
      </c>
      <c r="F2002" s="311">
        <v>200</v>
      </c>
      <c r="G2002" s="306">
        <v>100</v>
      </c>
    </row>
    <row r="2003" spans="1:7" x14ac:dyDescent="0.2">
      <c r="A2003" s="310" t="s">
        <v>1368</v>
      </c>
      <c r="B2003" s="310" t="s">
        <v>1371</v>
      </c>
      <c r="C2003" s="309">
        <v>42340</v>
      </c>
      <c r="D2003" s="308" t="s">
        <v>1591</v>
      </c>
      <c r="E2003" s="307">
        <v>1</v>
      </c>
      <c r="F2003" s="311">
        <v>200</v>
      </c>
      <c r="G2003" s="306">
        <v>100</v>
      </c>
    </row>
    <row r="2004" spans="1:7" x14ac:dyDescent="0.2">
      <c r="A2004" s="310" t="s">
        <v>1368</v>
      </c>
      <c r="B2004" s="310" t="s">
        <v>1371</v>
      </c>
      <c r="C2004" s="309">
        <v>42340</v>
      </c>
      <c r="D2004" s="308" t="s">
        <v>1841</v>
      </c>
      <c r="E2004" s="307">
        <v>1</v>
      </c>
      <c r="F2004" s="311">
        <v>200</v>
      </c>
      <c r="G2004" s="306">
        <v>100</v>
      </c>
    </row>
    <row r="2005" spans="1:7" x14ac:dyDescent="0.2">
      <c r="A2005" s="310" t="s">
        <v>1368</v>
      </c>
      <c r="B2005" s="310" t="s">
        <v>1371</v>
      </c>
      <c r="C2005" s="309">
        <v>42340</v>
      </c>
      <c r="D2005" s="308" t="s">
        <v>1448</v>
      </c>
      <c r="E2005" s="307">
        <v>1</v>
      </c>
      <c r="F2005" s="311">
        <v>200</v>
      </c>
      <c r="G2005" s="306">
        <v>100</v>
      </c>
    </row>
    <row r="2006" spans="1:7" x14ac:dyDescent="0.2">
      <c r="A2006" s="310" t="s">
        <v>1368</v>
      </c>
      <c r="B2006" s="310" t="s">
        <v>1371</v>
      </c>
      <c r="C2006" s="309">
        <v>42412</v>
      </c>
      <c r="D2006" s="308" t="s">
        <v>2439</v>
      </c>
      <c r="E2006" s="307">
        <v>1</v>
      </c>
      <c r="F2006" s="311">
        <v>200</v>
      </c>
      <c r="G2006" s="306">
        <v>100</v>
      </c>
    </row>
    <row r="2007" spans="1:7" x14ac:dyDescent="0.2">
      <c r="A2007" s="310" t="s">
        <v>1368</v>
      </c>
      <c r="B2007" s="310" t="s">
        <v>1371</v>
      </c>
      <c r="C2007" s="309">
        <v>42412</v>
      </c>
      <c r="D2007" s="308" t="s">
        <v>2426</v>
      </c>
      <c r="E2007" s="307">
        <v>1</v>
      </c>
      <c r="F2007" s="311">
        <v>200</v>
      </c>
      <c r="G2007" s="306">
        <v>100</v>
      </c>
    </row>
    <row r="2008" spans="1:7" x14ac:dyDescent="0.2">
      <c r="A2008" s="310" t="s">
        <v>1368</v>
      </c>
      <c r="B2008" s="310" t="s">
        <v>1367</v>
      </c>
      <c r="C2008" s="309">
        <v>42453</v>
      </c>
      <c r="D2008" s="308" t="s">
        <v>2475</v>
      </c>
      <c r="E2008" s="307">
        <v>1</v>
      </c>
      <c r="F2008" s="311">
        <v>200</v>
      </c>
      <c r="G2008" s="306">
        <v>100</v>
      </c>
    </row>
    <row r="2009" spans="1:7" x14ac:dyDescent="0.2">
      <c r="A2009" s="310" t="s">
        <v>1366</v>
      </c>
      <c r="B2009" s="310" t="s">
        <v>1376</v>
      </c>
      <c r="C2009" s="309">
        <v>42259</v>
      </c>
      <c r="D2009" s="308" t="s">
        <v>1742</v>
      </c>
      <c r="E2009" s="307">
        <v>1</v>
      </c>
      <c r="F2009" s="311">
        <v>350</v>
      </c>
      <c r="G2009" s="306">
        <v>100</v>
      </c>
    </row>
    <row r="2010" spans="1:7" x14ac:dyDescent="0.2">
      <c r="A2010" s="310" t="s">
        <v>1364</v>
      </c>
      <c r="B2010" s="310" t="s">
        <v>1367</v>
      </c>
      <c r="C2010" s="309">
        <v>42091</v>
      </c>
      <c r="D2010" s="308" t="s">
        <v>1564</v>
      </c>
      <c r="E2010" s="307">
        <v>1</v>
      </c>
      <c r="F2010" s="311">
        <v>600</v>
      </c>
      <c r="G2010" s="306">
        <v>100</v>
      </c>
    </row>
    <row r="2011" spans="1:7" x14ac:dyDescent="0.2">
      <c r="A2011" s="310" t="s">
        <v>1364</v>
      </c>
      <c r="B2011" s="310" t="s">
        <v>1367</v>
      </c>
      <c r="C2011" s="309">
        <v>42091</v>
      </c>
      <c r="D2011" s="308" t="s">
        <v>1425</v>
      </c>
      <c r="E2011" s="307">
        <v>1</v>
      </c>
      <c r="F2011" s="311">
        <v>600</v>
      </c>
      <c r="G2011" s="306">
        <v>100</v>
      </c>
    </row>
    <row r="2012" spans="1:7" x14ac:dyDescent="0.2">
      <c r="A2012" s="310" t="s">
        <v>1364</v>
      </c>
      <c r="B2012" s="310" t="s">
        <v>1371</v>
      </c>
      <c r="C2012" s="309">
        <v>42157</v>
      </c>
      <c r="D2012" s="308" t="s">
        <v>1721</v>
      </c>
      <c r="E2012" s="307">
        <v>1</v>
      </c>
      <c r="F2012" s="311">
        <v>600</v>
      </c>
      <c r="G2012" s="306">
        <v>100</v>
      </c>
    </row>
    <row r="2013" spans="1:7" x14ac:dyDescent="0.2">
      <c r="A2013" s="310" t="s">
        <v>1364</v>
      </c>
      <c r="B2013" s="310" t="s">
        <v>1367</v>
      </c>
      <c r="C2013" s="309">
        <v>42638</v>
      </c>
      <c r="D2013" s="308" t="s">
        <v>2767</v>
      </c>
      <c r="E2013" s="307">
        <v>1</v>
      </c>
      <c r="F2013" s="311">
        <v>650</v>
      </c>
      <c r="G2013" s="306">
        <v>100</v>
      </c>
    </row>
    <row r="2014" spans="1:7" x14ac:dyDescent="0.2">
      <c r="A2014" s="310" t="s">
        <v>1319</v>
      </c>
      <c r="B2014" s="310" t="s">
        <v>1371</v>
      </c>
      <c r="C2014" s="309">
        <v>42258</v>
      </c>
      <c r="D2014" s="308" t="s">
        <v>1818</v>
      </c>
      <c r="E2014" s="307">
        <v>1</v>
      </c>
      <c r="F2014" s="311">
        <v>100</v>
      </c>
      <c r="G2014" s="306">
        <v>100</v>
      </c>
    </row>
    <row r="2015" spans="1:7" x14ac:dyDescent="0.2">
      <c r="A2015" s="310" t="s">
        <v>1319</v>
      </c>
      <c r="B2015" s="310" t="s">
        <v>1367</v>
      </c>
      <c r="C2015" s="309">
        <v>42332</v>
      </c>
      <c r="D2015" s="308" t="s">
        <v>1686</v>
      </c>
      <c r="E2015" s="307">
        <v>1</v>
      </c>
      <c r="F2015" s="311">
        <v>100</v>
      </c>
      <c r="G2015" s="306">
        <v>100</v>
      </c>
    </row>
    <row r="2016" spans="1:7" x14ac:dyDescent="0.2">
      <c r="A2016" s="310" t="s">
        <v>1319</v>
      </c>
      <c r="B2016" s="310" t="s">
        <v>1367</v>
      </c>
      <c r="C2016" s="309">
        <v>42666</v>
      </c>
      <c r="D2016" s="308" t="s">
        <v>2156</v>
      </c>
      <c r="E2016" s="307">
        <v>1</v>
      </c>
      <c r="F2016" s="311">
        <v>120</v>
      </c>
      <c r="G2016" s="306">
        <v>100</v>
      </c>
    </row>
    <row r="2017" spans="1:7" x14ac:dyDescent="0.2">
      <c r="A2017" s="310" t="s">
        <v>1319</v>
      </c>
      <c r="B2017" s="310" t="s">
        <v>1367</v>
      </c>
      <c r="C2017" s="309">
        <v>42666</v>
      </c>
      <c r="D2017" s="308" t="s">
        <v>2162</v>
      </c>
      <c r="E2017" s="307">
        <v>1</v>
      </c>
      <c r="F2017" s="311">
        <v>120</v>
      </c>
      <c r="G2017" s="306">
        <v>100</v>
      </c>
    </row>
    <row r="2018" spans="1:7" x14ac:dyDescent="0.2">
      <c r="A2018" s="310" t="s">
        <v>1368</v>
      </c>
      <c r="B2018" s="310" t="s">
        <v>1367</v>
      </c>
      <c r="C2018" s="309">
        <v>42170</v>
      </c>
      <c r="D2018" s="308" t="s">
        <v>1811</v>
      </c>
      <c r="E2018" s="307">
        <v>1</v>
      </c>
      <c r="F2018" s="311">
        <v>200</v>
      </c>
      <c r="G2018" s="306">
        <v>100</v>
      </c>
    </row>
    <row r="2019" spans="1:7" x14ac:dyDescent="0.2">
      <c r="A2019" s="310" t="s">
        <v>1368</v>
      </c>
      <c r="B2019" s="310" t="s">
        <v>1367</v>
      </c>
      <c r="C2019" s="309">
        <v>42170</v>
      </c>
      <c r="D2019" s="308" t="s">
        <v>1652</v>
      </c>
      <c r="E2019" s="307">
        <v>1</v>
      </c>
      <c r="F2019" s="311">
        <v>200</v>
      </c>
      <c r="G2019" s="306">
        <v>100</v>
      </c>
    </row>
    <row r="2020" spans="1:7" x14ac:dyDescent="0.2">
      <c r="A2020" s="310" t="s">
        <v>1368</v>
      </c>
      <c r="B2020" s="310" t="s">
        <v>1367</v>
      </c>
      <c r="C2020" s="309">
        <v>42170</v>
      </c>
      <c r="D2020" s="308" t="s">
        <v>1800</v>
      </c>
      <c r="E2020" s="307">
        <v>1</v>
      </c>
      <c r="F2020" s="311">
        <v>200</v>
      </c>
      <c r="G2020" s="306">
        <v>100</v>
      </c>
    </row>
    <row r="2021" spans="1:7" x14ac:dyDescent="0.2">
      <c r="A2021" s="310" t="s">
        <v>1368</v>
      </c>
      <c r="B2021" s="310" t="s">
        <v>1371</v>
      </c>
      <c r="C2021" s="309">
        <v>42323</v>
      </c>
      <c r="D2021" s="308" t="s">
        <v>1873</v>
      </c>
      <c r="E2021" s="307">
        <v>1</v>
      </c>
      <c r="F2021" s="311">
        <v>200</v>
      </c>
      <c r="G2021" s="306">
        <v>100</v>
      </c>
    </row>
    <row r="2022" spans="1:7" x14ac:dyDescent="0.2">
      <c r="A2022" s="310" t="s">
        <v>1368</v>
      </c>
      <c r="B2022" s="310" t="s">
        <v>1371</v>
      </c>
      <c r="C2022" s="309">
        <v>42340</v>
      </c>
      <c r="D2022" s="308" t="s">
        <v>1840</v>
      </c>
      <c r="E2022" s="307">
        <v>1</v>
      </c>
      <c r="F2022" s="311">
        <v>200</v>
      </c>
      <c r="G2022" s="306">
        <v>100</v>
      </c>
    </row>
    <row r="2023" spans="1:7" x14ac:dyDescent="0.2">
      <c r="A2023" s="310" t="s">
        <v>1368</v>
      </c>
      <c r="B2023" s="310" t="s">
        <v>1371</v>
      </c>
      <c r="C2023" s="309">
        <v>42412</v>
      </c>
      <c r="D2023" s="308" t="s">
        <v>2452</v>
      </c>
      <c r="E2023" s="307">
        <v>1</v>
      </c>
      <c r="F2023" s="311">
        <v>200</v>
      </c>
      <c r="G2023" s="306">
        <v>100</v>
      </c>
    </row>
    <row r="2024" spans="1:7" x14ac:dyDescent="0.2">
      <c r="A2024" s="310" t="s">
        <v>1368</v>
      </c>
      <c r="B2024" s="310" t="s">
        <v>1371</v>
      </c>
      <c r="C2024" s="309">
        <v>42412</v>
      </c>
      <c r="D2024" s="308" t="s">
        <v>2419</v>
      </c>
      <c r="E2024" s="307">
        <v>1</v>
      </c>
      <c r="F2024" s="311">
        <v>200</v>
      </c>
      <c r="G2024" s="306">
        <v>100</v>
      </c>
    </row>
    <row r="2025" spans="1:7" x14ac:dyDescent="0.2">
      <c r="A2025" s="310" t="s">
        <v>1368</v>
      </c>
      <c r="B2025" s="310" t="s">
        <v>1367</v>
      </c>
      <c r="C2025" s="309">
        <v>42505</v>
      </c>
      <c r="D2025" s="308" t="s">
        <v>2557</v>
      </c>
      <c r="E2025" s="307">
        <v>1</v>
      </c>
      <c r="F2025" s="311">
        <v>200</v>
      </c>
      <c r="G2025" s="306">
        <v>100</v>
      </c>
    </row>
    <row r="2026" spans="1:7" x14ac:dyDescent="0.2">
      <c r="A2026" s="310" t="s">
        <v>1368</v>
      </c>
      <c r="B2026" s="310" t="s">
        <v>1367</v>
      </c>
      <c r="C2026" s="309">
        <v>42563</v>
      </c>
      <c r="D2026" s="308" t="s">
        <v>2597</v>
      </c>
      <c r="E2026" s="307">
        <v>1</v>
      </c>
      <c r="F2026" s="311">
        <v>200</v>
      </c>
      <c r="G2026" s="306">
        <v>100</v>
      </c>
    </row>
    <row r="2027" spans="1:7" x14ac:dyDescent="0.2">
      <c r="A2027" s="310" t="s">
        <v>1368</v>
      </c>
      <c r="B2027" s="310" t="s">
        <v>1367</v>
      </c>
      <c r="C2027" s="309">
        <v>42593</v>
      </c>
      <c r="D2027" s="308" t="s">
        <v>2467</v>
      </c>
      <c r="E2027" s="307">
        <v>1</v>
      </c>
      <c r="F2027" s="311">
        <v>200</v>
      </c>
      <c r="G2027" s="306">
        <v>100</v>
      </c>
    </row>
    <row r="2028" spans="1:7" x14ac:dyDescent="0.2">
      <c r="A2028" s="310" t="s">
        <v>1368</v>
      </c>
      <c r="B2028" s="310" t="s">
        <v>1367</v>
      </c>
      <c r="C2028" s="309">
        <v>42614</v>
      </c>
      <c r="D2028" s="308" t="s">
        <v>2640</v>
      </c>
      <c r="E2028" s="307">
        <v>1</v>
      </c>
      <c r="F2028" s="311">
        <v>200</v>
      </c>
      <c r="G2028" s="306">
        <v>100</v>
      </c>
    </row>
    <row r="2029" spans="1:7" x14ac:dyDescent="0.2">
      <c r="A2029" s="310" t="s">
        <v>1368</v>
      </c>
      <c r="B2029" s="310" t="s">
        <v>1367</v>
      </c>
      <c r="C2029" s="309">
        <v>42627</v>
      </c>
      <c r="D2029" s="308" t="s">
        <v>2647</v>
      </c>
      <c r="E2029" s="307">
        <v>1</v>
      </c>
      <c r="F2029" s="311">
        <v>200</v>
      </c>
      <c r="G2029" s="306">
        <v>100</v>
      </c>
    </row>
    <row r="2030" spans="1:7" x14ac:dyDescent="0.2">
      <c r="A2030" s="310" t="s">
        <v>1366</v>
      </c>
      <c r="B2030" s="310" t="s">
        <v>1376</v>
      </c>
      <c r="C2030" s="309">
        <v>42053</v>
      </c>
      <c r="D2030" s="308" t="s">
        <v>1751</v>
      </c>
      <c r="E2030" s="307">
        <v>1</v>
      </c>
      <c r="F2030" s="311">
        <v>350</v>
      </c>
      <c r="G2030" s="306">
        <v>100</v>
      </c>
    </row>
    <row r="2031" spans="1:7" x14ac:dyDescent="0.2">
      <c r="A2031" s="310" t="s">
        <v>1366</v>
      </c>
      <c r="B2031" s="310" t="s">
        <v>1376</v>
      </c>
      <c r="C2031" s="309">
        <v>42562</v>
      </c>
      <c r="D2031" s="308" t="s">
        <v>2670</v>
      </c>
      <c r="E2031" s="307">
        <v>1</v>
      </c>
      <c r="F2031" s="311">
        <v>380</v>
      </c>
      <c r="G2031" s="306">
        <v>100</v>
      </c>
    </row>
    <row r="2032" spans="1:7" x14ac:dyDescent="0.2">
      <c r="A2032" s="310" t="s">
        <v>1364</v>
      </c>
      <c r="B2032" s="310" t="s">
        <v>1371</v>
      </c>
      <c r="C2032" s="309">
        <v>42430</v>
      </c>
      <c r="D2032" s="308" t="s">
        <v>2719</v>
      </c>
      <c r="E2032" s="307">
        <v>1</v>
      </c>
      <c r="F2032" s="311">
        <v>650</v>
      </c>
      <c r="G2032" s="306">
        <v>100</v>
      </c>
    </row>
    <row r="2033" spans="1:7" x14ac:dyDescent="0.2">
      <c r="A2033" s="310" t="s">
        <v>1319</v>
      </c>
      <c r="B2033" s="310" t="s">
        <v>1371</v>
      </c>
      <c r="C2033" s="309">
        <v>42476</v>
      </c>
      <c r="D2033" s="308" t="s">
        <v>2098</v>
      </c>
      <c r="E2033" s="307">
        <v>1</v>
      </c>
      <c r="F2033" s="311">
        <v>120</v>
      </c>
      <c r="G2033" s="306">
        <v>100</v>
      </c>
    </row>
    <row r="2034" spans="1:7" x14ac:dyDescent="0.2">
      <c r="A2034" s="310" t="s">
        <v>1319</v>
      </c>
      <c r="B2034" s="310" t="s">
        <v>1371</v>
      </c>
      <c r="C2034" s="309">
        <v>42476</v>
      </c>
      <c r="D2034" s="308" t="s">
        <v>2147</v>
      </c>
      <c r="E2034" s="307">
        <v>1</v>
      </c>
      <c r="F2034" s="311">
        <v>120</v>
      </c>
      <c r="G2034" s="306">
        <v>100</v>
      </c>
    </row>
    <row r="2035" spans="1:7" x14ac:dyDescent="0.2">
      <c r="A2035" s="310" t="s">
        <v>1319</v>
      </c>
      <c r="B2035" s="310" t="s">
        <v>1371</v>
      </c>
      <c r="C2035" s="309">
        <v>42476</v>
      </c>
      <c r="D2035" s="308" t="s">
        <v>2131</v>
      </c>
      <c r="E2035" s="307">
        <v>1</v>
      </c>
      <c r="F2035" s="311">
        <v>120</v>
      </c>
      <c r="G2035" s="306">
        <v>100</v>
      </c>
    </row>
    <row r="2036" spans="1:7" x14ac:dyDescent="0.2">
      <c r="A2036" s="310" t="s">
        <v>1319</v>
      </c>
      <c r="B2036" s="310" t="s">
        <v>1367</v>
      </c>
      <c r="C2036" s="309">
        <v>42666</v>
      </c>
      <c r="D2036" s="308" t="s">
        <v>2159</v>
      </c>
      <c r="E2036" s="307">
        <v>1</v>
      </c>
      <c r="F2036" s="311">
        <v>120</v>
      </c>
      <c r="G2036" s="306">
        <v>100</v>
      </c>
    </row>
    <row r="2037" spans="1:7" x14ac:dyDescent="0.2">
      <c r="A2037" s="310" t="s">
        <v>1368</v>
      </c>
      <c r="B2037" s="310" t="s">
        <v>1367</v>
      </c>
      <c r="C2037" s="309">
        <v>42170</v>
      </c>
      <c r="D2037" s="308" t="s">
        <v>1793</v>
      </c>
      <c r="E2037" s="307">
        <v>1</v>
      </c>
      <c r="F2037" s="311">
        <v>200</v>
      </c>
      <c r="G2037" s="306">
        <v>100</v>
      </c>
    </row>
    <row r="2038" spans="1:7" x14ac:dyDescent="0.2">
      <c r="A2038" s="310" t="s">
        <v>1368</v>
      </c>
      <c r="B2038" s="310" t="s">
        <v>1367</v>
      </c>
      <c r="C2038" s="309">
        <v>42282</v>
      </c>
      <c r="D2038" s="308" t="s">
        <v>1760</v>
      </c>
      <c r="E2038" s="307">
        <v>1</v>
      </c>
      <c r="F2038" s="311">
        <v>200</v>
      </c>
      <c r="G2038" s="306">
        <v>100</v>
      </c>
    </row>
    <row r="2039" spans="1:7" x14ac:dyDescent="0.2">
      <c r="A2039" s="310" t="s">
        <v>1368</v>
      </c>
      <c r="B2039" s="310" t="s">
        <v>1367</v>
      </c>
      <c r="C2039" s="309">
        <v>42282</v>
      </c>
      <c r="D2039" s="308" t="s">
        <v>1518</v>
      </c>
      <c r="E2039" s="307">
        <v>1</v>
      </c>
      <c r="F2039" s="311">
        <v>200</v>
      </c>
      <c r="G2039" s="306">
        <v>100</v>
      </c>
    </row>
    <row r="2040" spans="1:7" x14ac:dyDescent="0.2">
      <c r="A2040" s="310" t="s">
        <v>1368</v>
      </c>
      <c r="B2040" s="310" t="s">
        <v>1371</v>
      </c>
      <c r="C2040" s="309">
        <v>42323</v>
      </c>
      <c r="D2040" s="308" t="s">
        <v>1489</v>
      </c>
      <c r="E2040" s="307">
        <v>1</v>
      </c>
      <c r="F2040" s="311">
        <v>200</v>
      </c>
      <c r="G2040" s="306">
        <v>100</v>
      </c>
    </row>
    <row r="2041" spans="1:7" x14ac:dyDescent="0.2">
      <c r="A2041" s="310" t="s">
        <v>1368</v>
      </c>
      <c r="B2041" s="310" t="s">
        <v>1371</v>
      </c>
      <c r="C2041" s="309">
        <v>42340</v>
      </c>
      <c r="D2041" s="308" t="s">
        <v>1545</v>
      </c>
      <c r="E2041" s="307">
        <v>1</v>
      </c>
      <c r="F2041" s="311">
        <v>200</v>
      </c>
      <c r="G2041" s="306">
        <v>100</v>
      </c>
    </row>
    <row r="2042" spans="1:7" x14ac:dyDescent="0.2">
      <c r="A2042" s="310" t="s">
        <v>1368</v>
      </c>
      <c r="B2042" s="310" t="s">
        <v>1367</v>
      </c>
      <c r="C2042" s="309">
        <v>42505</v>
      </c>
      <c r="D2042" s="308" t="s">
        <v>2547</v>
      </c>
      <c r="E2042" s="307">
        <v>1</v>
      </c>
      <c r="F2042" s="311">
        <v>200</v>
      </c>
      <c r="G2042" s="306">
        <v>100</v>
      </c>
    </row>
    <row r="2043" spans="1:7" x14ac:dyDescent="0.2">
      <c r="A2043" s="310" t="s">
        <v>1368</v>
      </c>
      <c r="B2043" s="310" t="s">
        <v>1367</v>
      </c>
      <c r="C2043" s="309">
        <v>42545</v>
      </c>
      <c r="D2043" s="308" t="s">
        <v>2117</v>
      </c>
      <c r="E2043" s="307">
        <v>1</v>
      </c>
      <c r="F2043" s="311">
        <v>200</v>
      </c>
      <c r="G2043" s="306">
        <v>100</v>
      </c>
    </row>
    <row r="2044" spans="1:7" x14ac:dyDescent="0.2">
      <c r="A2044" s="310" t="s">
        <v>1368</v>
      </c>
      <c r="B2044" s="310" t="s">
        <v>1367</v>
      </c>
      <c r="C2044" s="309">
        <v>42563</v>
      </c>
      <c r="D2044" s="308" t="s">
        <v>2596</v>
      </c>
      <c r="E2044" s="307">
        <v>1</v>
      </c>
      <c r="F2044" s="311">
        <v>200</v>
      </c>
      <c r="G2044" s="306">
        <v>100</v>
      </c>
    </row>
    <row r="2045" spans="1:7" x14ac:dyDescent="0.2">
      <c r="A2045" s="310" t="s">
        <v>1368</v>
      </c>
      <c r="B2045" s="310" t="s">
        <v>1367</v>
      </c>
      <c r="C2045" s="309">
        <v>42563</v>
      </c>
      <c r="D2045" s="308" t="s">
        <v>2449</v>
      </c>
      <c r="E2045" s="307">
        <v>1</v>
      </c>
      <c r="F2045" s="311">
        <v>200</v>
      </c>
      <c r="G2045" s="306">
        <v>100</v>
      </c>
    </row>
    <row r="2046" spans="1:7" x14ac:dyDescent="0.2">
      <c r="A2046" s="310" t="s">
        <v>1366</v>
      </c>
      <c r="B2046" s="310" t="s">
        <v>1376</v>
      </c>
      <c r="C2046" s="309">
        <v>42562</v>
      </c>
      <c r="D2046" s="308" t="s">
        <v>2676</v>
      </c>
      <c r="E2046" s="307">
        <v>1</v>
      </c>
      <c r="F2046" s="311">
        <v>380</v>
      </c>
      <c r="G2046" s="306">
        <v>100</v>
      </c>
    </row>
    <row r="2047" spans="1:7" x14ac:dyDescent="0.2">
      <c r="A2047" s="310" t="s">
        <v>1364</v>
      </c>
      <c r="B2047" s="310" t="s">
        <v>1367</v>
      </c>
      <c r="C2047" s="309">
        <v>42091</v>
      </c>
      <c r="D2047" s="308" t="s">
        <v>1668</v>
      </c>
      <c r="E2047" s="307">
        <v>1</v>
      </c>
      <c r="F2047" s="311">
        <v>600</v>
      </c>
      <c r="G2047" s="306">
        <v>100</v>
      </c>
    </row>
    <row r="2048" spans="1:7" x14ac:dyDescent="0.2">
      <c r="A2048" s="310" t="s">
        <v>1364</v>
      </c>
      <c r="B2048" s="310" t="s">
        <v>1367</v>
      </c>
      <c r="C2048" s="309">
        <v>42091</v>
      </c>
      <c r="D2048" s="308" t="s">
        <v>1453</v>
      </c>
      <c r="E2048" s="307">
        <v>1</v>
      </c>
      <c r="F2048" s="311">
        <v>600</v>
      </c>
      <c r="G2048" s="306">
        <v>100</v>
      </c>
    </row>
    <row r="2049" spans="1:7" x14ac:dyDescent="0.2">
      <c r="A2049" s="310" t="s">
        <v>1364</v>
      </c>
      <c r="B2049" s="310" t="s">
        <v>1371</v>
      </c>
      <c r="C2049" s="309">
        <v>42265</v>
      </c>
      <c r="D2049" s="308" t="s">
        <v>1705</v>
      </c>
      <c r="E2049" s="307">
        <v>1</v>
      </c>
      <c r="F2049" s="311">
        <v>600</v>
      </c>
      <c r="G2049" s="306">
        <v>100</v>
      </c>
    </row>
    <row r="2050" spans="1:7" x14ac:dyDescent="0.2">
      <c r="A2050" s="310" t="s">
        <v>1364</v>
      </c>
      <c r="B2050" s="310" t="s">
        <v>1367</v>
      </c>
      <c r="C2050" s="309">
        <v>42638</v>
      </c>
      <c r="D2050" s="308" t="s">
        <v>2801</v>
      </c>
      <c r="E2050" s="307">
        <v>1</v>
      </c>
      <c r="F2050" s="311">
        <v>650</v>
      </c>
      <c r="G2050" s="306">
        <v>100</v>
      </c>
    </row>
    <row r="2051" spans="1:7" x14ac:dyDescent="0.2">
      <c r="A2051" s="310" t="s">
        <v>1360</v>
      </c>
      <c r="B2051" s="310" t="s">
        <v>1371</v>
      </c>
      <c r="C2051" s="309">
        <v>42504</v>
      </c>
      <c r="D2051" s="308" t="s">
        <v>2930</v>
      </c>
      <c r="E2051" s="307">
        <v>1</v>
      </c>
      <c r="F2051" s="311">
        <v>275</v>
      </c>
      <c r="G2051" s="306">
        <v>100</v>
      </c>
    </row>
    <row r="2052" spans="1:7" x14ac:dyDescent="0.2">
      <c r="A2052" s="310" t="s">
        <v>1319</v>
      </c>
      <c r="B2052" s="310" t="s">
        <v>1371</v>
      </c>
      <c r="C2052" s="309">
        <v>42258</v>
      </c>
      <c r="D2052" s="308" t="s">
        <v>1567</v>
      </c>
      <c r="E2052" s="307">
        <v>1</v>
      </c>
      <c r="F2052" s="311">
        <v>100</v>
      </c>
      <c r="G2052" s="306">
        <v>100</v>
      </c>
    </row>
    <row r="2053" spans="1:7" x14ac:dyDescent="0.2">
      <c r="A2053" s="310" t="s">
        <v>1319</v>
      </c>
      <c r="B2053" s="310" t="s">
        <v>1367</v>
      </c>
      <c r="C2053" s="309">
        <v>42332</v>
      </c>
      <c r="D2053" s="308" t="s">
        <v>1997</v>
      </c>
      <c r="E2053" s="307">
        <v>1</v>
      </c>
      <c r="F2053" s="311">
        <v>100</v>
      </c>
      <c r="G2053" s="306">
        <v>100</v>
      </c>
    </row>
    <row r="2054" spans="1:7" x14ac:dyDescent="0.2">
      <c r="A2054" s="310" t="s">
        <v>1319</v>
      </c>
      <c r="B2054" s="310" t="s">
        <v>1371</v>
      </c>
      <c r="C2054" s="309">
        <v>42476</v>
      </c>
      <c r="D2054" s="308" t="s">
        <v>2109</v>
      </c>
      <c r="E2054" s="307">
        <v>1</v>
      </c>
      <c r="F2054" s="311">
        <v>120</v>
      </c>
      <c r="G2054" s="306">
        <v>100</v>
      </c>
    </row>
    <row r="2055" spans="1:7" x14ac:dyDescent="0.2">
      <c r="A2055" s="310" t="s">
        <v>1319</v>
      </c>
      <c r="B2055" s="310" t="s">
        <v>1367</v>
      </c>
      <c r="C2055" s="309">
        <v>42666</v>
      </c>
      <c r="D2055" s="308" t="s">
        <v>2155</v>
      </c>
      <c r="E2055" s="307">
        <v>1</v>
      </c>
      <c r="F2055" s="311">
        <v>120</v>
      </c>
      <c r="G2055" s="306">
        <v>100</v>
      </c>
    </row>
    <row r="2056" spans="1:7" x14ac:dyDescent="0.2">
      <c r="A2056" s="310" t="s">
        <v>1319</v>
      </c>
      <c r="B2056" s="310" t="s">
        <v>1367</v>
      </c>
      <c r="C2056" s="309">
        <v>42666</v>
      </c>
      <c r="D2056" s="308" t="s">
        <v>2150</v>
      </c>
      <c r="E2056" s="307">
        <v>1</v>
      </c>
      <c r="F2056" s="311">
        <v>120</v>
      </c>
      <c r="G2056" s="306">
        <v>100</v>
      </c>
    </row>
    <row r="2057" spans="1:7" x14ac:dyDescent="0.2">
      <c r="A2057" s="310" t="s">
        <v>1368</v>
      </c>
      <c r="B2057" s="310" t="s">
        <v>1367</v>
      </c>
      <c r="C2057" s="309">
        <v>42068</v>
      </c>
      <c r="D2057" s="308" t="s">
        <v>1595</v>
      </c>
      <c r="E2057" s="307">
        <v>1</v>
      </c>
      <c r="F2057" s="311">
        <v>200</v>
      </c>
      <c r="G2057" s="306">
        <v>100</v>
      </c>
    </row>
    <row r="2058" spans="1:7" x14ac:dyDescent="0.2">
      <c r="A2058" s="310" t="s">
        <v>1368</v>
      </c>
      <c r="B2058" s="310" t="s">
        <v>1367</v>
      </c>
      <c r="C2058" s="309">
        <v>42068</v>
      </c>
      <c r="D2058" s="308" t="s">
        <v>1816</v>
      </c>
      <c r="E2058" s="307">
        <v>1</v>
      </c>
      <c r="F2058" s="311">
        <v>200</v>
      </c>
      <c r="G2058" s="306">
        <v>100</v>
      </c>
    </row>
    <row r="2059" spans="1:7" x14ac:dyDescent="0.2">
      <c r="A2059" s="310" t="s">
        <v>1368</v>
      </c>
      <c r="B2059" s="310" t="s">
        <v>1367</v>
      </c>
      <c r="C2059" s="309">
        <v>42170</v>
      </c>
      <c r="D2059" s="308" t="s">
        <v>1649</v>
      </c>
      <c r="E2059" s="307">
        <v>1</v>
      </c>
      <c r="F2059" s="311">
        <v>200</v>
      </c>
      <c r="G2059" s="306">
        <v>100</v>
      </c>
    </row>
    <row r="2060" spans="1:7" x14ac:dyDescent="0.2">
      <c r="A2060" s="310" t="s">
        <v>1368</v>
      </c>
      <c r="B2060" s="310" t="s">
        <v>1367</v>
      </c>
      <c r="C2060" s="309">
        <v>42170</v>
      </c>
      <c r="D2060" s="308" t="s">
        <v>1794</v>
      </c>
      <c r="E2060" s="307">
        <v>1</v>
      </c>
      <c r="F2060" s="311">
        <v>200</v>
      </c>
      <c r="G2060" s="306">
        <v>100</v>
      </c>
    </row>
    <row r="2061" spans="1:7" x14ac:dyDescent="0.2">
      <c r="A2061" s="310" t="s">
        <v>1368</v>
      </c>
      <c r="B2061" s="310" t="s">
        <v>1367</v>
      </c>
      <c r="C2061" s="309">
        <v>42170</v>
      </c>
      <c r="D2061" s="308" t="s">
        <v>1790</v>
      </c>
      <c r="E2061" s="307">
        <v>1</v>
      </c>
      <c r="F2061" s="311">
        <v>200</v>
      </c>
      <c r="G2061" s="306">
        <v>100</v>
      </c>
    </row>
    <row r="2062" spans="1:7" x14ac:dyDescent="0.2">
      <c r="A2062" s="310" t="s">
        <v>1368</v>
      </c>
      <c r="B2062" s="310" t="s">
        <v>1367</v>
      </c>
      <c r="C2062" s="309">
        <v>42170</v>
      </c>
      <c r="D2062" s="308" t="s">
        <v>1777</v>
      </c>
      <c r="E2062" s="307">
        <v>1</v>
      </c>
      <c r="F2062" s="311">
        <v>200</v>
      </c>
      <c r="G2062" s="306">
        <v>100</v>
      </c>
    </row>
    <row r="2063" spans="1:7" x14ac:dyDescent="0.2">
      <c r="A2063" s="310" t="s">
        <v>1368</v>
      </c>
      <c r="B2063" s="310" t="s">
        <v>1367</v>
      </c>
      <c r="C2063" s="309">
        <v>42485</v>
      </c>
      <c r="D2063" s="308" t="s">
        <v>2513</v>
      </c>
      <c r="E2063" s="307">
        <v>1</v>
      </c>
      <c r="F2063" s="311">
        <v>200</v>
      </c>
      <c r="G2063" s="306">
        <v>100</v>
      </c>
    </row>
    <row r="2064" spans="1:7" x14ac:dyDescent="0.2">
      <c r="A2064" s="310" t="s">
        <v>1368</v>
      </c>
      <c r="B2064" s="310" t="s">
        <v>1367</v>
      </c>
      <c r="C2064" s="309">
        <v>42505</v>
      </c>
      <c r="D2064" s="308" t="s">
        <v>2539</v>
      </c>
      <c r="E2064" s="307">
        <v>1</v>
      </c>
      <c r="F2064" s="311">
        <v>200</v>
      </c>
      <c r="G2064" s="306">
        <v>100</v>
      </c>
    </row>
    <row r="2065" spans="1:7" x14ac:dyDescent="0.2">
      <c r="A2065" s="310" t="s">
        <v>1368</v>
      </c>
      <c r="B2065" s="310" t="s">
        <v>1367</v>
      </c>
      <c r="C2065" s="309">
        <v>42563</v>
      </c>
      <c r="D2065" s="308" t="s">
        <v>2611</v>
      </c>
      <c r="E2065" s="307">
        <v>1</v>
      </c>
      <c r="F2065" s="311">
        <v>200</v>
      </c>
      <c r="G2065" s="306">
        <v>100</v>
      </c>
    </row>
    <row r="2066" spans="1:7" x14ac:dyDescent="0.2">
      <c r="A2066" s="310" t="s">
        <v>1368</v>
      </c>
      <c r="B2066" s="310" t="s">
        <v>1367</v>
      </c>
      <c r="C2066" s="309">
        <v>42627</v>
      </c>
      <c r="D2066" s="308" t="s">
        <v>2643</v>
      </c>
      <c r="E2066" s="307">
        <v>1</v>
      </c>
      <c r="F2066" s="311">
        <v>200</v>
      </c>
      <c r="G2066" s="306">
        <v>100</v>
      </c>
    </row>
    <row r="2067" spans="1:7" x14ac:dyDescent="0.2">
      <c r="A2067" s="310" t="s">
        <v>1366</v>
      </c>
      <c r="B2067" s="310" t="s">
        <v>1376</v>
      </c>
      <c r="C2067" s="309">
        <v>42259</v>
      </c>
      <c r="D2067" s="308" t="s">
        <v>1622</v>
      </c>
      <c r="E2067" s="307">
        <v>1</v>
      </c>
      <c r="F2067" s="311">
        <v>350</v>
      </c>
      <c r="G2067" s="306">
        <v>100</v>
      </c>
    </row>
    <row r="2068" spans="1:7" x14ac:dyDescent="0.2">
      <c r="A2068" s="310" t="s">
        <v>1366</v>
      </c>
      <c r="B2068" s="310" t="s">
        <v>1376</v>
      </c>
      <c r="C2068" s="309">
        <v>42562</v>
      </c>
      <c r="D2068" s="308" t="s">
        <v>2661</v>
      </c>
      <c r="E2068" s="307">
        <v>1</v>
      </c>
      <c r="F2068" s="311">
        <v>380</v>
      </c>
      <c r="G2068" s="306">
        <v>100</v>
      </c>
    </row>
    <row r="2069" spans="1:7" x14ac:dyDescent="0.2">
      <c r="A2069" s="310" t="s">
        <v>1364</v>
      </c>
      <c r="B2069" s="310" t="s">
        <v>1367</v>
      </c>
      <c r="C2069" s="309">
        <v>42091</v>
      </c>
      <c r="D2069" s="308" t="s">
        <v>1484</v>
      </c>
      <c r="E2069" s="307">
        <v>1</v>
      </c>
      <c r="F2069" s="311">
        <v>600</v>
      </c>
      <c r="G2069" s="306">
        <v>100</v>
      </c>
    </row>
    <row r="2070" spans="1:7" x14ac:dyDescent="0.2">
      <c r="A2070" s="310" t="s">
        <v>1364</v>
      </c>
      <c r="B2070" s="310" t="s">
        <v>1367</v>
      </c>
      <c r="C2070" s="309">
        <v>42091</v>
      </c>
      <c r="D2070" s="308" t="s">
        <v>1474</v>
      </c>
      <c r="E2070" s="307">
        <v>1</v>
      </c>
      <c r="F2070" s="311">
        <v>600</v>
      </c>
      <c r="G2070" s="306">
        <v>100</v>
      </c>
    </row>
    <row r="2071" spans="1:7" x14ac:dyDescent="0.2">
      <c r="A2071" s="310" t="s">
        <v>1364</v>
      </c>
      <c r="B2071" s="310" t="s">
        <v>1367</v>
      </c>
      <c r="C2071" s="309">
        <v>42638</v>
      </c>
      <c r="D2071" s="308" t="s">
        <v>2791</v>
      </c>
      <c r="E2071" s="307">
        <v>1</v>
      </c>
      <c r="F2071" s="311">
        <v>650</v>
      </c>
      <c r="G2071" s="306">
        <v>100</v>
      </c>
    </row>
    <row r="2072" spans="1:7" x14ac:dyDescent="0.2">
      <c r="A2072" s="310" t="s">
        <v>1364</v>
      </c>
      <c r="B2072" s="310" t="s">
        <v>1367</v>
      </c>
      <c r="C2072" s="309">
        <v>42638</v>
      </c>
      <c r="D2072" s="308" t="s">
        <v>2760</v>
      </c>
      <c r="E2072" s="307">
        <v>1</v>
      </c>
      <c r="F2072" s="311">
        <v>650</v>
      </c>
      <c r="G2072" s="306">
        <v>100</v>
      </c>
    </row>
    <row r="2073" spans="1:7" x14ac:dyDescent="0.2">
      <c r="A2073" s="310" t="s">
        <v>1366</v>
      </c>
      <c r="B2073" s="310" t="s">
        <v>1376</v>
      </c>
      <c r="C2073" s="309">
        <v>42259</v>
      </c>
      <c r="D2073" s="308" t="s">
        <v>1739</v>
      </c>
      <c r="E2073" s="307">
        <v>1</v>
      </c>
      <c r="F2073" s="311">
        <v>350</v>
      </c>
      <c r="G2073" s="306">
        <v>100</v>
      </c>
    </row>
    <row r="2074" spans="1:7" x14ac:dyDescent="0.2">
      <c r="A2074" s="310" t="s">
        <v>1366</v>
      </c>
      <c r="B2074" s="310" t="s">
        <v>1376</v>
      </c>
      <c r="C2074" s="309">
        <v>42562</v>
      </c>
      <c r="D2074" s="308" t="s">
        <v>2681</v>
      </c>
      <c r="E2074" s="307">
        <v>1</v>
      </c>
      <c r="F2074" s="311">
        <v>380</v>
      </c>
      <c r="G2074" s="306">
        <v>100</v>
      </c>
    </row>
    <row r="2075" spans="1:7" x14ac:dyDescent="0.2">
      <c r="A2075" s="310" t="s">
        <v>1366</v>
      </c>
      <c r="B2075" s="310" t="s">
        <v>1376</v>
      </c>
      <c r="C2075" s="309">
        <v>42562</v>
      </c>
      <c r="D2075" s="308" t="s">
        <v>2679</v>
      </c>
      <c r="E2075" s="307">
        <v>1</v>
      </c>
      <c r="F2075" s="311">
        <v>380</v>
      </c>
      <c r="G2075" s="306">
        <v>100</v>
      </c>
    </row>
    <row r="2076" spans="1:7" x14ac:dyDescent="0.2">
      <c r="A2076" s="310" t="s">
        <v>1366</v>
      </c>
      <c r="B2076" s="310" t="s">
        <v>1376</v>
      </c>
      <c r="C2076" s="309">
        <v>42259</v>
      </c>
      <c r="D2076" s="308" t="s">
        <v>1419</v>
      </c>
      <c r="E2076" s="307">
        <v>1</v>
      </c>
      <c r="F2076" s="311">
        <v>350</v>
      </c>
      <c r="G2076" s="306">
        <v>100</v>
      </c>
    </row>
    <row r="2077" spans="1:7" x14ac:dyDescent="0.2">
      <c r="A2077" s="310" t="s">
        <v>1366</v>
      </c>
      <c r="B2077" s="310" t="s">
        <v>1376</v>
      </c>
      <c r="C2077" s="309">
        <v>42053</v>
      </c>
      <c r="D2077" s="308" t="s">
        <v>1554</v>
      </c>
      <c r="E2077" s="307">
        <v>1</v>
      </c>
      <c r="F2077" s="311">
        <v>350</v>
      </c>
      <c r="G2077" s="306">
        <v>100</v>
      </c>
    </row>
    <row r="2078" spans="1:7" x14ac:dyDescent="0.2">
      <c r="A2078" s="310" t="s">
        <v>1366</v>
      </c>
      <c r="B2078" s="310" t="s">
        <v>1376</v>
      </c>
      <c r="C2078" s="309">
        <v>42259</v>
      </c>
      <c r="D2078" s="308" t="s">
        <v>1746</v>
      </c>
      <c r="E2078" s="307">
        <v>1</v>
      </c>
      <c r="F2078" s="311">
        <v>350</v>
      </c>
      <c r="G2078" s="306">
        <v>100</v>
      </c>
    </row>
    <row r="2079" spans="1:7" x14ac:dyDescent="0.2">
      <c r="A2079" s="310" t="s">
        <v>1366</v>
      </c>
      <c r="B2079" s="310" t="s">
        <v>1376</v>
      </c>
      <c r="C2079" s="309">
        <v>42053</v>
      </c>
      <c r="D2079" s="308" t="s">
        <v>1594</v>
      </c>
      <c r="E2079" s="307">
        <v>1</v>
      </c>
      <c r="F2079" s="311">
        <v>350</v>
      </c>
      <c r="G2079" s="306">
        <v>100</v>
      </c>
    </row>
    <row r="2080" spans="1:7" x14ac:dyDescent="0.2">
      <c r="A2080" s="310" t="s">
        <v>1366</v>
      </c>
      <c r="B2080" s="310" t="s">
        <v>1376</v>
      </c>
      <c r="C2080" s="309">
        <v>42259</v>
      </c>
      <c r="D2080" s="308" t="s">
        <v>1614</v>
      </c>
      <c r="E2080" s="307">
        <v>1</v>
      </c>
      <c r="F2080" s="311">
        <v>350</v>
      </c>
      <c r="G2080" s="306">
        <v>100</v>
      </c>
    </row>
    <row r="2081" spans="1:7" x14ac:dyDescent="0.2">
      <c r="A2081" s="310" t="s">
        <v>1366</v>
      </c>
      <c r="B2081" s="310" t="s">
        <v>1376</v>
      </c>
      <c r="C2081" s="309">
        <v>42259</v>
      </c>
      <c r="D2081" s="308" t="s">
        <v>1511</v>
      </c>
      <c r="E2081" s="307">
        <v>1</v>
      </c>
      <c r="F2081" s="311">
        <v>350</v>
      </c>
      <c r="G2081" s="306">
        <v>100</v>
      </c>
    </row>
    <row r="2082" spans="1:7" x14ac:dyDescent="0.2">
      <c r="A2082" s="310" t="s">
        <v>1366</v>
      </c>
      <c r="B2082" s="310" t="s">
        <v>1376</v>
      </c>
      <c r="C2082" s="309">
        <v>42259</v>
      </c>
      <c r="D2082" s="308" t="s">
        <v>1741</v>
      </c>
      <c r="E2082" s="307">
        <v>1</v>
      </c>
      <c r="F2082" s="311">
        <v>350</v>
      </c>
      <c r="G2082" s="306">
        <v>100</v>
      </c>
    </row>
    <row r="2083" spans="1:7" x14ac:dyDescent="0.2">
      <c r="A2083" s="310" t="s">
        <v>1319</v>
      </c>
      <c r="B2083" s="310" t="s">
        <v>1361</v>
      </c>
      <c r="C2083" s="309">
        <v>42019</v>
      </c>
      <c r="D2083" s="308" t="s">
        <v>1577</v>
      </c>
      <c r="E2083" s="307">
        <v>0</v>
      </c>
      <c r="F2083" s="311" t="s">
        <v>1391</v>
      </c>
      <c r="G2083" s="307" t="s">
        <v>1391</v>
      </c>
    </row>
    <row r="2084" spans="1:7" x14ac:dyDescent="0.2">
      <c r="A2084" s="310" t="s">
        <v>1319</v>
      </c>
      <c r="B2084" s="310" t="s">
        <v>1361</v>
      </c>
      <c r="C2084" s="309">
        <v>42019</v>
      </c>
      <c r="D2084" s="308" t="s">
        <v>1926</v>
      </c>
      <c r="E2084" s="307">
        <v>0</v>
      </c>
      <c r="F2084" s="311" t="s">
        <v>1391</v>
      </c>
      <c r="G2084" s="307" t="s">
        <v>1391</v>
      </c>
    </row>
    <row r="2085" spans="1:7" x14ac:dyDescent="0.2">
      <c r="A2085" s="310" t="s">
        <v>1319</v>
      </c>
      <c r="B2085" s="310" t="s">
        <v>1373</v>
      </c>
      <c r="C2085" s="309">
        <v>42084</v>
      </c>
      <c r="D2085" s="308" t="s">
        <v>1434</v>
      </c>
      <c r="E2085" s="307">
        <v>0</v>
      </c>
      <c r="F2085" s="311" t="s">
        <v>1391</v>
      </c>
      <c r="G2085" s="307" t="s">
        <v>1391</v>
      </c>
    </row>
    <row r="2086" spans="1:7" x14ac:dyDescent="0.2">
      <c r="A2086" s="310" t="s">
        <v>1319</v>
      </c>
      <c r="B2086" s="310" t="s">
        <v>1373</v>
      </c>
      <c r="C2086" s="309">
        <v>42084</v>
      </c>
      <c r="D2086" s="308" t="s">
        <v>1429</v>
      </c>
      <c r="E2086" s="307">
        <v>0</v>
      </c>
      <c r="F2086" s="311" t="s">
        <v>1391</v>
      </c>
      <c r="G2086" s="307" t="s">
        <v>1391</v>
      </c>
    </row>
    <row r="2087" spans="1:7" x14ac:dyDescent="0.2">
      <c r="A2087" s="310" t="s">
        <v>1319</v>
      </c>
      <c r="B2087" s="310" t="s">
        <v>1373</v>
      </c>
      <c r="C2087" s="309">
        <v>42084</v>
      </c>
      <c r="D2087" s="308" t="s">
        <v>1827</v>
      </c>
      <c r="E2087" s="307">
        <v>0</v>
      </c>
      <c r="F2087" s="311" t="s">
        <v>1391</v>
      </c>
      <c r="G2087" s="307" t="s">
        <v>1391</v>
      </c>
    </row>
    <row r="2088" spans="1:7" x14ac:dyDescent="0.2">
      <c r="A2088" s="310" t="s">
        <v>1319</v>
      </c>
      <c r="B2088" s="310" t="s">
        <v>1373</v>
      </c>
      <c r="C2088" s="309">
        <v>42084</v>
      </c>
      <c r="D2088" s="308" t="s">
        <v>1509</v>
      </c>
      <c r="E2088" s="307">
        <v>0</v>
      </c>
      <c r="F2088" s="311" t="s">
        <v>1391</v>
      </c>
      <c r="G2088" s="307" t="s">
        <v>1391</v>
      </c>
    </row>
    <row r="2089" spans="1:7" x14ac:dyDescent="0.2">
      <c r="A2089" s="310" t="s">
        <v>1319</v>
      </c>
      <c r="B2089" s="310" t="s">
        <v>1373</v>
      </c>
      <c r="C2089" s="309">
        <v>42084</v>
      </c>
      <c r="D2089" s="308" t="s">
        <v>2015</v>
      </c>
      <c r="E2089" s="307">
        <v>0</v>
      </c>
      <c r="F2089" s="311" t="s">
        <v>1391</v>
      </c>
      <c r="G2089" s="307" t="s">
        <v>1391</v>
      </c>
    </row>
    <row r="2090" spans="1:7" x14ac:dyDescent="0.2">
      <c r="A2090" s="310" t="s">
        <v>1319</v>
      </c>
      <c r="B2090" s="310" t="s">
        <v>1373</v>
      </c>
      <c r="C2090" s="309">
        <v>42084</v>
      </c>
      <c r="D2090" s="308" t="s">
        <v>1585</v>
      </c>
      <c r="E2090" s="307">
        <v>0</v>
      </c>
      <c r="F2090" s="311" t="s">
        <v>1391</v>
      </c>
      <c r="G2090" s="307" t="s">
        <v>1391</v>
      </c>
    </row>
    <row r="2091" spans="1:7" x14ac:dyDescent="0.2">
      <c r="A2091" s="310" t="s">
        <v>1319</v>
      </c>
      <c r="B2091" s="310" t="s">
        <v>1373</v>
      </c>
      <c r="C2091" s="309">
        <v>42415</v>
      </c>
      <c r="D2091" s="308" t="s">
        <v>2071</v>
      </c>
      <c r="E2091" s="307">
        <v>0</v>
      </c>
      <c r="F2091" s="311" t="s">
        <v>1391</v>
      </c>
      <c r="G2091" s="307" t="s">
        <v>1391</v>
      </c>
    </row>
    <row r="2092" spans="1:7" x14ac:dyDescent="0.2">
      <c r="A2092" s="310" t="s">
        <v>1319</v>
      </c>
      <c r="B2092" s="310" t="s">
        <v>1373</v>
      </c>
      <c r="C2092" s="309">
        <v>42415</v>
      </c>
      <c r="D2092" s="308" t="s">
        <v>2070</v>
      </c>
      <c r="E2092" s="307">
        <v>0</v>
      </c>
      <c r="F2092" s="311" t="s">
        <v>1391</v>
      </c>
      <c r="G2092" s="307" t="s">
        <v>1391</v>
      </c>
    </row>
    <row r="2093" spans="1:7" x14ac:dyDescent="0.2">
      <c r="A2093" s="310" t="s">
        <v>1319</v>
      </c>
      <c r="B2093" s="310" t="s">
        <v>1371</v>
      </c>
      <c r="C2093" s="309">
        <v>42476</v>
      </c>
      <c r="D2093" s="308" t="s">
        <v>2105</v>
      </c>
      <c r="E2093" s="307">
        <v>0</v>
      </c>
      <c r="F2093" s="311" t="s">
        <v>1391</v>
      </c>
      <c r="G2093" s="307" t="s">
        <v>1391</v>
      </c>
    </row>
    <row r="2094" spans="1:7" x14ac:dyDescent="0.2">
      <c r="A2094" s="310" t="s">
        <v>1319</v>
      </c>
      <c r="B2094" s="310" t="s">
        <v>1371</v>
      </c>
      <c r="C2094" s="309">
        <v>42476</v>
      </c>
      <c r="D2094" s="308" t="s">
        <v>2140</v>
      </c>
      <c r="E2094" s="307">
        <v>0</v>
      </c>
      <c r="F2094" s="311" t="s">
        <v>1391</v>
      </c>
      <c r="G2094" s="307" t="s">
        <v>1391</v>
      </c>
    </row>
    <row r="2095" spans="1:7" x14ac:dyDescent="0.2">
      <c r="A2095" s="310" t="s">
        <v>1319</v>
      </c>
      <c r="B2095" s="310" t="s">
        <v>1367</v>
      </c>
      <c r="C2095" s="309">
        <v>42666</v>
      </c>
      <c r="D2095" s="308" t="s">
        <v>2151</v>
      </c>
      <c r="E2095" s="307">
        <v>0</v>
      </c>
      <c r="F2095" s="311" t="s">
        <v>1391</v>
      </c>
      <c r="G2095" s="307" t="s">
        <v>1391</v>
      </c>
    </row>
    <row r="2096" spans="1:7" x14ac:dyDescent="0.2">
      <c r="A2096" s="310" t="s">
        <v>1313</v>
      </c>
      <c r="B2096" s="310" t="s">
        <v>1373</v>
      </c>
      <c r="C2096" s="309">
        <v>42105</v>
      </c>
      <c r="D2096" s="308" t="s">
        <v>1987</v>
      </c>
      <c r="E2096" s="307">
        <v>0</v>
      </c>
      <c r="F2096" s="311" t="s">
        <v>1391</v>
      </c>
      <c r="G2096" s="307" t="s">
        <v>1391</v>
      </c>
    </row>
    <row r="2097" spans="1:7" x14ac:dyDescent="0.2">
      <c r="A2097" s="310" t="s">
        <v>1313</v>
      </c>
      <c r="B2097" s="310" t="s">
        <v>1373</v>
      </c>
      <c r="C2097" s="309">
        <v>42105</v>
      </c>
      <c r="D2097" s="308" t="s">
        <v>1835</v>
      </c>
      <c r="E2097" s="307">
        <v>0</v>
      </c>
      <c r="F2097" s="311" t="s">
        <v>1391</v>
      </c>
      <c r="G2097" s="307" t="s">
        <v>1391</v>
      </c>
    </row>
    <row r="2098" spans="1:7" x14ac:dyDescent="0.2">
      <c r="A2098" s="310" t="s">
        <v>1313</v>
      </c>
      <c r="B2098" s="310" t="s">
        <v>1373</v>
      </c>
      <c r="C2098" s="309">
        <v>42105</v>
      </c>
      <c r="D2098" s="308" t="s">
        <v>1925</v>
      </c>
      <c r="E2098" s="307">
        <v>0</v>
      </c>
      <c r="F2098" s="311" t="s">
        <v>1391</v>
      </c>
      <c r="G2098" s="307" t="s">
        <v>1391</v>
      </c>
    </row>
    <row r="2099" spans="1:7" x14ac:dyDescent="0.2">
      <c r="A2099" s="310" t="s">
        <v>1313</v>
      </c>
      <c r="B2099" s="310" t="s">
        <v>1373</v>
      </c>
      <c r="C2099" s="309">
        <v>42105</v>
      </c>
      <c r="D2099" s="308" t="s">
        <v>1981</v>
      </c>
      <c r="E2099" s="307">
        <v>0</v>
      </c>
      <c r="F2099" s="311" t="s">
        <v>1391</v>
      </c>
      <c r="G2099" s="307" t="s">
        <v>1391</v>
      </c>
    </row>
    <row r="2100" spans="1:7" x14ac:dyDescent="0.2">
      <c r="A2100" s="310" t="s">
        <v>1313</v>
      </c>
      <c r="B2100" s="310" t="s">
        <v>1373</v>
      </c>
      <c r="C2100" s="309">
        <v>42105</v>
      </c>
      <c r="D2100" s="308" t="s">
        <v>1738</v>
      </c>
      <c r="E2100" s="307">
        <v>0</v>
      </c>
      <c r="F2100" s="311" t="s">
        <v>1391</v>
      </c>
      <c r="G2100" s="307" t="s">
        <v>1391</v>
      </c>
    </row>
    <row r="2101" spans="1:7" x14ac:dyDescent="0.2">
      <c r="A2101" s="310" t="s">
        <v>1313</v>
      </c>
      <c r="B2101" s="310" t="s">
        <v>1373</v>
      </c>
      <c r="C2101" s="309">
        <v>42105</v>
      </c>
      <c r="D2101" s="308" t="s">
        <v>1550</v>
      </c>
      <c r="E2101" s="307">
        <v>0</v>
      </c>
      <c r="F2101" s="311" t="s">
        <v>1391</v>
      </c>
      <c r="G2101" s="307" t="s">
        <v>1391</v>
      </c>
    </row>
    <row r="2102" spans="1:7" x14ac:dyDescent="0.2">
      <c r="A2102" s="310" t="s">
        <v>1313</v>
      </c>
      <c r="B2102" s="310" t="s">
        <v>1361</v>
      </c>
      <c r="C2102" s="309">
        <v>42177</v>
      </c>
      <c r="D2102" s="308" t="s">
        <v>1979</v>
      </c>
      <c r="E2102" s="307">
        <v>0</v>
      </c>
      <c r="F2102" s="311" t="s">
        <v>1391</v>
      </c>
      <c r="G2102" s="307" t="s">
        <v>1391</v>
      </c>
    </row>
    <row r="2103" spans="1:7" x14ac:dyDescent="0.2">
      <c r="A2103" s="310" t="s">
        <v>1313</v>
      </c>
      <c r="B2103" s="310" t="s">
        <v>1361</v>
      </c>
      <c r="C2103" s="309">
        <v>42177</v>
      </c>
      <c r="D2103" s="308" t="s">
        <v>1944</v>
      </c>
      <c r="E2103" s="307">
        <v>0</v>
      </c>
      <c r="F2103" s="311" t="s">
        <v>1391</v>
      </c>
      <c r="G2103" s="307" t="s">
        <v>1391</v>
      </c>
    </row>
    <row r="2104" spans="1:7" x14ac:dyDescent="0.2">
      <c r="A2104" s="310" t="s">
        <v>1313</v>
      </c>
      <c r="B2104" s="310" t="s">
        <v>1361</v>
      </c>
      <c r="C2104" s="309">
        <v>42177</v>
      </c>
      <c r="D2104" s="308" t="s">
        <v>1471</v>
      </c>
      <c r="E2104" s="307">
        <v>0</v>
      </c>
      <c r="F2104" s="311" t="s">
        <v>1391</v>
      </c>
      <c r="G2104" s="307" t="s">
        <v>1391</v>
      </c>
    </row>
    <row r="2105" spans="1:7" x14ac:dyDescent="0.2">
      <c r="A2105" s="310" t="s">
        <v>1313</v>
      </c>
      <c r="B2105" s="310" t="s">
        <v>1373</v>
      </c>
      <c r="C2105" s="309">
        <v>42384</v>
      </c>
      <c r="D2105" s="308" t="s">
        <v>2167</v>
      </c>
      <c r="E2105" s="307">
        <v>0</v>
      </c>
      <c r="F2105" s="311" t="s">
        <v>1391</v>
      </c>
      <c r="G2105" s="307" t="s">
        <v>1391</v>
      </c>
    </row>
    <row r="2106" spans="1:7" x14ac:dyDescent="0.2">
      <c r="A2106" s="310" t="s">
        <v>1313</v>
      </c>
      <c r="B2106" s="310" t="s">
        <v>1361</v>
      </c>
      <c r="C2106" s="309">
        <v>42636</v>
      </c>
      <c r="D2106" s="308" t="s">
        <v>2108</v>
      </c>
      <c r="E2106" s="307">
        <v>0</v>
      </c>
      <c r="F2106" s="311" t="s">
        <v>1391</v>
      </c>
      <c r="G2106" s="307" t="s">
        <v>1391</v>
      </c>
    </row>
    <row r="2107" spans="1:7" x14ac:dyDescent="0.2">
      <c r="A2107" s="310" t="s">
        <v>1374</v>
      </c>
      <c r="B2107" s="310" t="s">
        <v>1369</v>
      </c>
      <c r="C2107" s="309">
        <v>42227</v>
      </c>
      <c r="D2107" s="308" t="s">
        <v>1673</v>
      </c>
      <c r="E2107" s="307">
        <v>0</v>
      </c>
      <c r="F2107" s="311" t="s">
        <v>1391</v>
      </c>
      <c r="G2107" s="307" t="s">
        <v>1391</v>
      </c>
    </row>
    <row r="2108" spans="1:7" x14ac:dyDescent="0.2">
      <c r="A2108" s="310" t="s">
        <v>1374</v>
      </c>
      <c r="B2108" s="310" t="s">
        <v>1369</v>
      </c>
      <c r="C2108" s="309">
        <v>42227</v>
      </c>
      <c r="D2108" s="308" t="s">
        <v>1774</v>
      </c>
      <c r="E2108" s="307">
        <v>0</v>
      </c>
      <c r="F2108" s="311" t="s">
        <v>1391</v>
      </c>
      <c r="G2108" s="307" t="s">
        <v>1391</v>
      </c>
    </row>
    <row r="2109" spans="1:7" x14ac:dyDescent="0.2">
      <c r="A2109" s="310" t="s">
        <v>1374</v>
      </c>
      <c r="B2109" s="310" t="s">
        <v>1369</v>
      </c>
      <c r="C2109" s="309">
        <v>42531</v>
      </c>
      <c r="D2109" s="308" t="s">
        <v>2259</v>
      </c>
      <c r="E2109" s="307">
        <v>0</v>
      </c>
      <c r="F2109" s="311" t="s">
        <v>1391</v>
      </c>
      <c r="G2109" s="307" t="s">
        <v>1391</v>
      </c>
    </row>
    <row r="2110" spans="1:7" x14ac:dyDescent="0.2">
      <c r="A2110" s="310" t="s">
        <v>1374</v>
      </c>
      <c r="B2110" s="310" t="s">
        <v>1369</v>
      </c>
      <c r="C2110" s="309">
        <v>42531</v>
      </c>
      <c r="D2110" s="308" t="s">
        <v>2221</v>
      </c>
      <c r="E2110" s="307">
        <v>0</v>
      </c>
      <c r="F2110" s="311" t="s">
        <v>1391</v>
      </c>
      <c r="G2110" s="307" t="s">
        <v>1391</v>
      </c>
    </row>
    <row r="2111" spans="1:7" x14ac:dyDescent="0.2">
      <c r="A2111" s="310" t="s">
        <v>1374</v>
      </c>
      <c r="B2111" s="310" t="s">
        <v>1369</v>
      </c>
      <c r="C2111" s="309">
        <v>42531</v>
      </c>
      <c r="D2111" s="308" t="s">
        <v>2253</v>
      </c>
      <c r="E2111" s="307">
        <v>0</v>
      </c>
      <c r="F2111" s="311" t="s">
        <v>1391</v>
      </c>
      <c r="G2111" s="307" t="s">
        <v>1391</v>
      </c>
    </row>
    <row r="2112" spans="1:7" x14ac:dyDescent="0.2">
      <c r="A2112" s="310" t="s">
        <v>1372</v>
      </c>
      <c r="B2112" s="310" t="s">
        <v>1365</v>
      </c>
      <c r="C2112" s="309">
        <v>42056</v>
      </c>
      <c r="D2112" s="308" t="s">
        <v>1396</v>
      </c>
      <c r="E2112" s="307">
        <v>0</v>
      </c>
      <c r="F2112" s="311" t="s">
        <v>1391</v>
      </c>
      <c r="G2112" s="307" t="s">
        <v>1391</v>
      </c>
    </row>
    <row r="2113" spans="1:7" x14ac:dyDescent="0.2">
      <c r="A2113" s="310" t="s">
        <v>1372</v>
      </c>
      <c r="B2113" s="310" t="s">
        <v>1365</v>
      </c>
      <c r="C2113" s="309">
        <v>42488</v>
      </c>
      <c r="D2113" s="308" t="s">
        <v>2271</v>
      </c>
      <c r="E2113" s="307">
        <v>0</v>
      </c>
      <c r="F2113" s="311" t="s">
        <v>1391</v>
      </c>
      <c r="G2113" s="307" t="s">
        <v>1391</v>
      </c>
    </row>
    <row r="2114" spans="1:7" x14ac:dyDescent="0.2">
      <c r="A2114" s="310" t="s">
        <v>1372</v>
      </c>
      <c r="B2114" s="310" t="s">
        <v>1363</v>
      </c>
      <c r="C2114" s="309">
        <v>42685</v>
      </c>
      <c r="D2114" s="308" t="s">
        <v>2303</v>
      </c>
      <c r="E2114" s="307">
        <v>0</v>
      </c>
      <c r="F2114" s="311" t="s">
        <v>1391</v>
      </c>
      <c r="G2114" s="307" t="s">
        <v>1391</v>
      </c>
    </row>
    <row r="2115" spans="1:7" x14ac:dyDescent="0.2">
      <c r="A2115" s="310" t="s">
        <v>1370</v>
      </c>
      <c r="B2115" s="310" t="s">
        <v>1361</v>
      </c>
      <c r="C2115" s="309">
        <v>42036</v>
      </c>
      <c r="D2115" s="308" t="s">
        <v>1865</v>
      </c>
      <c r="E2115" s="307">
        <v>0</v>
      </c>
      <c r="F2115" s="311" t="s">
        <v>1391</v>
      </c>
      <c r="G2115" s="307" t="s">
        <v>1391</v>
      </c>
    </row>
    <row r="2116" spans="1:7" x14ac:dyDescent="0.2">
      <c r="A2116" s="310" t="s">
        <v>1370</v>
      </c>
      <c r="B2116" s="310" t="s">
        <v>1361</v>
      </c>
      <c r="C2116" s="309">
        <v>42036</v>
      </c>
      <c r="D2116" s="308" t="s">
        <v>1918</v>
      </c>
      <c r="E2116" s="307">
        <v>0</v>
      </c>
      <c r="F2116" s="311" t="s">
        <v>1391</v>
      </c>
      <c r="G2116" s="307" t="s">
        <v>1391</v>
      </c>
    </row>
    <row r="2117" spans="1:7" x14ac:dyDescent="0.2">
      <c r="A2117" s="310" t="s">
        <v>1370</v>
      </c>
      <c r="B2117" s="310" t="s">
        <v>1361</v>
      </c>
      <c r="C2117" s="309">
        <v>42139</v>
      </c>
      <c r="D2117" s="308" t="s">
        <v>1904</v>
      </c>
      <c r="E2117" s="307">
        <v>0</v>
      </c>
      <c r="F2117" s="311" t="s">
        <v>1391</v>
      </c>
      <c r="G2117" s="307" t="s">
        <v>1391</v>
      </c>
    </row>
    <row r="2118" spans="1:7" x14ac:dyDescent="0.2">
      <c r="A2118" s="310" t="s">
        <v>1370</v>
      </c>
      <c r="B2118" s="310" t="s">
        <v>1361</v>
      </c>
      <c r="C2118" s="309">
        <v>42139</v>
      </c>
      <c r="D2118" s="308" t="s">
        <v>1818</v>
      </c>
      <c r="E2118" s="307">
        <v>0</v>
      </c>
      <c r="F2118" s="311" t="s">
        <v>1391</v>
      </c>
      <c r="G2118" s="307" t="s">
        <v>1391</v>
      </c>
    </row>
    <row r="2119" spans="1:7" x14ac:dyDescent="0.2">
      <c r="A2119" s="310" t="s">
        <v>1370</v>
      </c>
      <c r="B2119" s="310" t="s">
        <v>1373</v>
      </c>
      <c r="C2119" s="309">
        <v>42288</v>
      </c>
      <c r="D2119" s="308" t="s">
        <v>1538</v>
      </c>
      <c r="E2119" s="307">
        <v>0</v>
      </c>
      <c r="F2119" s="311" t="s">
        <v>1391</v>
      </c>
      <c r="G2119" s="307" t="s">
        <v>1391</v>
      </c>
    </row>
    <row r="2120" spans="1:7" x14ac:dyDescent="0.2">
      <c r="A2120" s="310" t="s">
        <v>1370</v>
      </c>
      <c r="B2120" s="310" t="s">
        <v>1373</v>
      </c>
      <c r="C2120" s="309">
        <v>42288</v>
      </c>
      <c r="D2120" s="308" t="s">
        <v>1636</v>
      </c>
      <c r="E2120" s="307">
        <v>0</v>
      </c>
      <c r="F2120" s="311" t="s">
        <v>1391</v>
      </c>
      <c r="G2120" s="307" t="s">
        <v>1391</v>
      </c>
    </row>
    <row r="2121" spans="1:7" x14ac:dyDescent="0.2">
      <c r="A2121" s="310" t="s">
        <v>1370</v>
      </c>
      <c r="B2121" s="310" t="s">
        <v>1373</v>
      </c>
      <c r="C2121" s="309">
        <v>42288</v>
      </c>
      <c r="D2121" s="308" t="s">
        <v>1929</v>
      </c>
      <c r="E2121" s="307">
        <v>0</v>
      </c>
      <c r="F2121" s="311" t="s">
        <v>1391</v>
      </c>
      <c r="G2121" s="307" t="s">
        <v>1391</v>
      </c>
    </row>
    <row r="2122" spans="1:7" x14ac:dyDescent="0.2">
      <c r="A2122" s="310" t="s">
        <v>1370</v>
      </c>
      <c r="B2122" s="310" t="s">
        <v>1361</v>
      </c>
      <c r="C2122" s="309">
        <v>42447</v>
      </c>
      <c r="D2122" s="308" t="s">
        <v>2389</v>
      </c>
      <c r="E2122" s="307">
        <v>0</v>
      </c>
      <c r="F2122" s="311" t="s">
        <v>1391</v>
      </c>
      <c r="G2122" s="307" t="s">
        <v>1391</v>
      </c>
    </row>
    <row r="2123" spans="1:7" x14ac:dyDescent="0.2">
      <c r="A2123" s="310" t="s">
        <v>1370</v>
      </c>
      <c r="B2123" s="310" t="s">
        <v>1361</v>
      </c>
      <c r="C2123" s="309">
        <v>42447</v>
      </c>
      <c r="D2123" s="308" t="s">
        <v>2391</v>
      </c>
      <c r="E2123" s="307">
        <v>0</v>
      </c>
      <c r="F2123" s="311" t="s">
        <v>1391</v>
      </c>
      <c r="G2123" s="307" t="s">
        <v>1391</v>
      </c>
    </row>
    <row r="2124" spans="1:7" x14ac:dyDescent="0.2">
      <c r="A2124" s="310" t="s">
        <v>1370</v>
      </c>
      <c r="B2124" s="310" t="s">
        <v>1361</v>
      </c>
      <c r="C2124" s="309">
        <v>42447</v>
      </c>
      <c r="D2124" s="308" t="s">
        <v>2373</v>
      </c>
      <c r="E2124" s="307">
        <v>0</v>
      </c>
      <c r="F2124" s="311" t="s">
        <v>1391</v>
      </c>
      <c r="G2124" s="307" t="s">
        <v>1391</v>
      </c>
    </row>
    <row r="2125" spans="1:7" x14ac:dyDescent="0.2">
      <c r="A2125" s="310" t="s">
        <v>1370</v>
      </c>
      <c r="B2125" s="310" t="s">
        <v>1361</v>
      </c>
      <c r="C2125" s="309">
        <v>42447</v>
      </c>
      <c r="D2125" s="308" t="s">
        <v>2381</v>
      </c>
      <c r="E2125" s="307">
        <v>0</v>
      </c>
      <c r="F2125" s="311" t="s">
        <v>1391</v>
      </c>
      <c r="G2125" s="307" t="s">
        <v>1391</v>
      </c>
    </row>
    <row r="2126" spans="1:7" x14ac:dyDescent="0.2">
      <c r="A2126" s="310" t="s">
        <v>1368</v>
      </c>
      <c r="B2126" s="310" t="s">
        <v>1367</v>
      </c>
      <c r="C2126" s="309">
        <v>42068</v>
      </c>
      <c r="D2126" s="308" t="s">
        <v>1814</v>
      </c>
      <c r="E2126" s="307">
        <v>0</v>
      </c>
      <c r="F2126" s="311" t="s">
        <v>1391</v>
      </c>
      <c r="G2126" s="307" t="s">
        <v>1391</v>
      </c>
    </row>
    <row r="2127" spans="1:7" x14ac:dyDescent="0.2">
      <c r="A2127" s="310" t="s">
        <v>1368</v>
      </c>
      <c r="B2127" s="310" t="s">
        <v>1367</v>
      </c>
      <c r="C2127" s="309">
        <v>42068</v>
      </c>
      <c r="D2127" s="308" t="s">
        <v>1813</v>
      </c>
      <c r="E2127" s="307">
        <v>0</v>
      </c>
      <c r="F2127" s="311" t="s">
        <v>1391</v>
      </c>
      <c r="G2127" s="307" t="s">
        <v>1391</v>
      </c>
    </row>
    <row r="2128" spans="1:7" x14ac:dyDescent="0.2">
      <c r="A2128" s="310" t="s">
        <v>1368</v>
      </c>
      <c r="B2128" s="310" t="s">
        <v>1367</v>
      </c>
      <c r="C2128" s="309">
        <v>42170</v>
      </c>
      <c r="D2128" s="308" t="s">
        <v>1785</v>
      </c>
      <c r="E2128" s="307">
        <v>0</v>
      </c>
      <c r="F2128" s="311" t="s">
        <v>1391</v>
      </c>
      <c r="G2128" s="307" t="s">
        <v>1391</v>
      </c>
    </row>
    <row r="2129" spans="1:7" x14ac:dyDescent="0.2">
      <c r="A2129" s="310" t="s">
        <v>1368</v>
      </c>
      <c r="B2129" s="310" t="s">
        <v>1367</v>
      </c>
      <c r="C2129" s="309">
        <v>42170</v>
      </c>
      <c r="D2129" s="308" t="s">
        <v>1408</v>
      </c>
      <c r="E2129" s="307">
        <v>0</v>
      </c>
      <c r="F2129" s="311" t="s">
        <v>1391</v>
      </c>
      <c r="G2129" s="307" t="s">
        <v>1391</v>
      </c>
    </row>
    <row r="2130" spans="1:7" x14ac:dyDescent="0.2">
      <c r="A2130" s="310" t="s">
        <v>1368</v>
      </c>
      <c r="B2130" s="310" t="s">
        <v>1367</v>
      </c>
      <c r="C2130" s="309">
        <v>42170</v>
      </c>
      <c r="D2130" s="308" t="s">
        <v>1782</v>
      </c>
      <c r="E2130" s="307">
        <v>0</v>
      </c>
      <c r="F2130" s="311" t="s">
        <v>1391</v>
      </c>
      <c r="G2130" s="307" t="s">
        <v>1391</v>
      </c>
    </row>
    <row r="2131" spans="1:7" x14ac:dyDescent="0.2">
      <c r="A2131" s="310" t="s">
        <v>1368</v>
      </c>
      <c r="B2131" s="310" t="s">
        <v>1367</v>
      </c>
      <c r="C2131" s="309">
        <v>42170</v>
      </c>
      <c r="D2131" s="308" t="s">
        <v>1449</v>
      </c>
      <c r="E2131" s="307">
        <v>0</v>
      </c>
      <c r="F2131" s="311" t="s">
        <v>1391</v>
      </c>
      <c r="G2131" s="307" t="s">
        <v>1391</v>
      </c>
    </row>
    <row r="2132" spans="1:7" x14ac:dyDescent="0.2">
      <c r="A2132" s="310" t="s">
        <v>1368</v>
      </c>
      <c r="B2132" s="310" t="s">
        <v>1367</v>
      </c>
      <c r="C2132" s="309">
        <v>42170</v>
      </c>
      <c r="D2132" s="308" t="s">
        <v>1392</v>
      </c>
      <c r="E2132" s="307">
        <v>0</v>
      </c>
      <c r="F2132" s="311" t="s">
        <v>1391</v>
      </c>
      <c r="G2132" s="307" t="s">
        <v>1391</v>
      </c>
    </row>
    <row r="2133" spans="1:7" x14ac:dyDescent="0.2">
      <c r="A2133" s="310" t="s">
        <v>1368</v>
      </c>
      <c r="B2133" s="310" t="s">
        <v>1371</v>
      </c>
      <c r="C2133" s="309">
        <v>42323</v>
      </c>
      <c r="D2133" s="308" t="s">
        <v>1413</v>
      </c>
      <c r="E2133" s="307">
        <v>0</v>
      </c>
      <c r="F2133" s="311" t="s">
        <v>1391</v>
      </c>
      <c r="G2133" s="307" t="s">
        <v>1391</v>
      </c>
    </row>
    <row r="2134" spans="1:7" x14ac:dyDescent="0.2">
      <c r="A2134" s="310" t="s">
        <v>1368</v>
      </c>
      <c r="B2134" s="310" t="s">
        <v>1371</v>
      </c>
      <c r="C2134" s="309">
        <v>42323</v>
      </c>
      <c r="D2134" s="308" t="s">
        <v>1869</v>
      </c>
      <c r="E2134" s="307">
        <v>0</v>
      </c>
      <c r="F2134" s="311" t="s">
        <v>1391</v>
      </c>
      <c r="G2134" s="307" t="s">
        <v>1391</v>
      </c>
    </row>
    <row r="2135" spans="1:7" x14ac:dyDescent="0.2">
      <c r="A2135" s="310" t="s">
        <v>1368</v>
      </c>
      <c r="B2135" s="310" t="s">
        <v>1371</v>
      </c>
      <c r="C2135" s="309">
        <v>42323</v>
      </c>
      <c r="D2135" s="308" t="s">
        <v>1868</v>
      </c>
      <c r="E2135" s="307">
        <v>0</v>
      </c>
      <c r="F2135" s="311" t="s">
        <v>1391</v>
      </c>
      <c r="G2135" s="307" t="s">
        <v>1391</v>
      </c>
    </row>
    <row r="2136" spans="1:7" x14ac:dyDescent="0.2">
      <c r="A2136" s="310" t="s">
        <v>1368</v>
      </c>
      <c r="B2136" s="310" t="s">
        <v>1371</v>
      </c>
      <c r="C2136" s="309">
        <v>42340</v>
      </c>
      <c r="D2136" s="308" t="s">
        <v>1855</v>
      </c>
      <c r="E2136" s="307">
        <v>0</v>
      </c>
      <c r="F2136" s="311" t="s">
        <v>1391</v>
      </c>
      <c r="G2136" s="307" t="s">
        <v>1391</v>
      </c>
    </row>
    <row r="2137" spans="1:7" x14ac:dyDescent="0.2">
      <c r="A2137" s="310" t="s">
        <v>1368</v>
      </c>
      <c r="B2137" s="310" t="s">
        <v>1371</v>
      </c>
      <c r="C2137" s="309">
        <v>42412</v>
      </c>
      <c r="D2137" s="308" t="s">
        <v>2448</v>
      </c>
      <c r="E2137" s="307">
        <v>0</v>
      </c>
      <c r="F2137" s="311" t="s">
        <v>1391</v>
      </c>
      <c r="G2137" s="307" t="s">
        <v>1391</v>
      </c>
    </row>
    <row r="2138" spans="1:7" x14ac:dyDescent="0.2">
      <c r="A2138" s="310" t="s">
        <v>1368</v>
      </c>
      <c r="B2138" s="310" t="s">
        <v>1371</v>
      </c>
      <c r="C2138" s="309">
        <v>42412</v>
      </c>
      <c r="D2138" s="308" t="s">
        <v>2427</v>
      </c>
      <c r="E2138" s="307">
        <v>0</v>
      </c>
      <c r="F2138" s="311" t="s">
        <v>1391</v>
      </c>
      <c r="G2138" s="307" t="s">
        <v>1391</v>
      </c>
    </row>
    <row r="2139" spans="1:7" x14ac:dyDescent="0.2">
      <c r="A2139" s="310" t="s">
        <v>1368</v>
      </c>
      <c r="B2139" s="310" t="s">
        <v>1367</v>
      </c>
      <c r="C2139" s="309">
        <v>42439</v>
      </c>
      <c r="D2139" s="308" t="s">
        <v>2458</v>
      </c>
      <c r="E2139" s="307">
        <v>0</v>
      </c>
      <c r="F2139" s="311" t="s">
        <v>1391</v>
      </c>
      <c r="G2139" s="307" t="s">
        <v>1391</v>
      </c>
    </row>
    <row r="2140" spans="1:7" x14ac:dyDescent="0.2">
      <c r="A2140" s="310" t="s">
        <v>1368</v>
      </c>
      <c r="B2140" s="310" t="s">
        <v>1367</v>
      </c>
      <c r="C2140" s="309">
        <v>42453</v>
      </c>
      <c r="D2140" s="308" t="s">
        <v>2485</v>
      </c>
      <c r="E2140" s="307">
        <v>0</v>
      </c>
      <c r="F2140" s="311" t="s">
        <v>1391</v>
      </c>
      <c r="G2140" s="307" t="s">
        <v>1391</v>
      </c>
    </row>
    <row r="2141" spans="1:7" x14ac:dyDescent="0.2">
      <c r="A2141" s="310" t="s">
        <v>1368</v>
      </c>
      <c r="B2141" s="310" t="s">
        <v>1367</v>
      </c>
      <c r="C2141" s="309">
        <v>42453</v>
      </c>
      <c r="D2141" s="308" t="s">
        <v>2477</v>
      </c>
      <c r="E2141" s="307">
        <v>0</v>
      </c>
      <c r="F2141" s="311" t="s">
        <v>1391</v>
      </c>
      <c r="G2141" s="307" t="s">
        <v>1391</v>
      </c>
    </row>
    <row r="2142" spans="1:7" x14ac:dyDescent="0.2">
      <c r="A2142" s="310" t="s">
        <v>1368</v>
      </c>
      <c r="B2142" s="310" t="s">
        <v>1367</v>
      </c>
      <c r="C2142" s="309">
        <v>42490</v>
      </c>
      <c r="D2142" s="308" t="s">
        <v>2524</v>
      </c>
      <c r="E2142" s="307">
        <v>0</v>
      </c>
      <c r="F2142" s="311" t="s">
        <v>1391</v>
      </c>
      <c r="G2142" s="307" t="s">
        <v>1391</v>
      </c>
    </row>
    <row r="2143" spans="1:7" x14ac:dyDescent="0.2">
      <c r="A2143" s="310" t="s">
        <v>1368</v>
      </c>
      <c r="B2143" s="310" t="s">
        <v>1367</v>
      </c>
      <c r="C2143" s="309">
        <v>42505</v>
      </c>
      <c r="D2143" s="308" t="s">
        <v>2552</v>
      </c>
      <c r="E2143" s="307">
        <v>0</v>
      </c>
      <c r="F2143" s="311" t="s">
        <v>1391</v>
      </c>
      <c r="G2143" s="307" t="s">
        <v>1391</v>
      </c>
    </row>
    <row r="2144" spans="1:7" x14ac:dyDescent="0.2">
      <c r="A2144" s="310" t="s">
        <v>1368</v>
      </c>
      <c r="B2144" s="310" t="s">
        <v>1367</v>
      </c>
      <c r="C2144" s="309">
        <v>42505</v>
      </c>
      <c r="D2144" s="308" t="s">
        <v>2567</v>
      </c>
      <c r="E2144" s="307">
        <v>0</v>
      </c>
      <c r="F2144" s="311" t="s">
        <v>1391</v>
      </c>
      <c r="G2144" s="307" t="s">
        <v>1391</v>
      </c>
    </row>
    <row r="2145" spans="1:7" x14ac:dyDescent="0.2">
      <c r="A2145" s="310" t="s">
        <v>1368</v>
      </c>
      <c r="B2145" s="310" t="s">
        <v>1367</v>
      </c>
      <c r="C2145" s="309">
        <v>42505</v>
      </c>
      <c r="D2145" s="308" t="s">
        <v>2560</v>
      </c>
      <c r="E2145" s="307">
        <v>0</v>
      </c>
      <c r="F2145" s="311" t="s">
        <v>1391</v>
      </c>
      <c r="G2145" s="307" t="s">
        <v>1391</v>
      </c>
    </row>
    <row r="2146" spans="1:7" x14ac:dyDescent="0.2">
      <c r="A2146" s="310" t="s">
        <v>1368</v>
      </c>
      <c r="B2146" s="310" t="s">
        <v>1367</v>
      </c>
      <c r="C2146" s="309">
        <v>42545</v>
      </c>
      <c r="D2146" s="308" t="s">
        <v>2583</v>
      </c>
      <c r="E2146" s="307">
        <v>0</v>
      </c>
      <c r="F2146" s="311" t="s">
        <v>1391</v>
      </c>
      <c r="G2146" s="307" t="s">
        <v>1391</v>
      </c>
    </row>
    <row r="2147" spans="1:7" x14ac:dyDescent="0.2">
      <c r="A2147" s="310" t="s">
        <v>1368</v>
      </c>
      <c r="B2147" s="310" t="s">
        <v>1367</v>
      </c>
      <c r="C2147" s="309">
        <v>42563</v>
      </c>
      <c r="D2147" s="308" t="s">
        <v>2605</v>
      </c>
      <c r="E2147" s="307">
        <v>0</v>
      </c>
      <c r="F2147" s="311" t="s">
        <v>1391</v>
      </c>
      <c r="G2147" s="307" t="s">
        <v>1391</v>
      </c>
    </row>
    <row r="2148" spans="1:7" x14ac:dyDescent="0.2">
      <c r="A2148" s="310" t="s">
        <v>1368</v>
      </c>
      <c r="B2148" s="310" t="s">
        <v>1367</v>
      </c>
      <c r="C2148" s="309">
        <v>42593</v>
      </c>
      <c r="D2148" s="308" t="s">
        <v>2618</v>
      </c>
      <c r="E2148" s="307">
        <v>0</v>
      </c>
      <c r="F2148" s="311" t="s">
        <v>1391</v>
      </c>
      <c r="G2148" s="307" t="s">
        <v>1391</v>
      </c>
    </row>
    <row r="2149" spans="1:7" x14ac:dyDescent="0.2">
      <c r="A2149" s="310" t="s">
        <v>1366</v>
      </c>
      <c r="B2149" s="310" t="s">
        <v>1376</v>
      </c>
      <c r="C2149" s="309">
        <v>42053</v>
      </c>
      <c r="D2149" s="308" t="s">
        <v>1565</v>
      </c>
      <c r="E2149" s="307">
        <v>0</v>
      </c>
      <c r="F2149" s="311" t="s">
        <v>1391</v>
      </c>
      <c r="G2149" s="306" t="s">
        <v>1391</v>
      </c>
    </row>
    <row r="2150" spans="1:7" x14ac:dyDescent="0.2">
      <c r="A2150" s="310" t="s">
        <v>1366</v>
      </c>
      <c r="B2150" s="310" t="s">
        <v>1376</v>
      </c>
      <c r="C2150" s="309">
        <v>42259</v>
      </c>
      <c r="D2150" s="308" t="s">
        <v>1748</v>
      </c>
      <c r="E2150" s="307">
        <v>0</v>
      </c>
      <c r="F2150" s="311" t="s">
        <v>1391</v>
      </c>
      <c r="G2150" s="306" t="s">
        <v>1391</v>
      </c>
    </row>
    <row r="2151" spans="1:7" x14ac:dyDescent="0.2">
      <c r="A2151" s="310" t="s">
        <v>1366</v>
      </c>
      <c r="B2151" s="310" t="s">
        <v>1376</v>
      </c>
      <c r="C2151" s="309">
        <v>42259</v>
      </c>
      <c r="D2151" s="308" t="s">
        <v>1731</v>
      </c>
      <c r="E2151" s="307">
        <v>0</v>
      </c>
      <c r="F2151" s="311" t="s">
        <v>1391</v>
      </c>
      <c r="G2151" s="306" t="s">
        <v>1391</v>
      </c>
    </row>
    <row r="2152" spans="1:7" x14ac:dyDescent="0.2">
      <c r="A2152" s="310" t="s">
        <v>1366</v>
      </c>
      <c r="B2152" s="310" t="s">
        <v>1376</v>
      </c>
      <c r="C2152" s="309">
        <v>42562</v>
      </c>
      <c r="D2152" s="308" t="s">
        <v>2666</v>
      </c>
      <c r="E2152" s="307">
        <v>0</v>
      </c>
      <c r="F2152" s="311" t="s">
        <v>1391</v>
      </c>
      <c r="G2152" s="306" t="s">
        <v>1391</v>
      </c>
    </row>
    <row r="2153" spans="1:7" x14ac:dyDescent="0.2">
      <c r="A2153" s="310" t="s">
        <v>1366</v>
      </c>
      <c r="B2153" s="310" t="s">
        <v>1376</v>
      </c>
      <c r="C2153" s="309">
        <v>42562</v>
      </c>
      <c r="D2153" s="308" t="s">
        <v>2665</v>
      </c>
      <c r="E2153" s="307">
        <v>0</v>
      </c>
      <c r="F2153" s="311" t="s">
        <v>1391</v>
      </c>
      <c r="G2153" s="306" t="s">
        <v>1391</v>
      </c>
    </row>
    <row r="2154" spans="1:7" x14ac:dyDescent="0.2">
      <c r="A2154" s="310" t="s">
        <v>1366</v>
      </c>
      <c r="B2154" s="310" t="s">
        <v>1376</v>
      </c>
      <c r="C2154" s="309">
        <v>42562</v>
      </c>
      <c r="D2154" s="308" t="s">
        <v>2685</v>
      </c>
      <c r="E2154" s="307">
        <v>0</v>
      </c>
      <c r="F2154" s="311" t="s">
        <v>1391</v>
      </c>
      <c r="G2154" s="306" t="s">
        <v>1391</v>
      </c>
    </row>
    <row r="2155" spans="1:7" x14ac:dyDescent="0.2">
      <c r="A2155" s="310" t="s">
        <v>1366</v>
      </c>
      <c r="B2155" s="310" t="s">
        <v>1376</v>
      </c>
      <c r="C2155" s="309">
        <v>42562</v>
      </c>
      <c r="D2155" s="308" t="s">
        <v>2667</v>
      </c>
      <c r="E2155" s="307">
        <v>0</v>
      </c>
      <c r="F2155" s="311" t="s">
        <v>1391</v>
      </c>
      <c r="G2155" s="306" t="s">
        <v>1391</v>
      </c>
    </row>
    <row r="2156" spans="1:7" x14ac:dyDescent="0.2">
      <c r="A2156" s="310" t="s">
        <v>1366</v>
      </c>
      <c r="B2156" s="310" t="s">
        <v>1376</v>
      </c>
      <c r="C2156" s="309">
        <v>42562</v>
      </c>
      <c r="D2156" s="308" t="s">
        <v>2700</v>
      </c>
      <c r="E2156" s="307">
        <v>0</v>
      </c>
      <c r="F2156" s="311" t="s">
        <v>1391</v>
      </c>
      <c r="G2156" s="306" t="s">
        <v>1391</v>
      </c>
    </row>
    <row r="2157" spans="1:7" x14ac:dyDescent="0.2">
      <c r="A2157" s="310" t="s">
        <v>1366</v>
      </c>
      <c r="B2157" s="310" t="s">
        <v>1376</v>
      </c>
      <c r="C2157" s="309">
        <v>42562</v>
      </c>
      <c r="D2157" s="308" t="s">
        <v>2690</v>
      </c>
      <c r="E2157" s="307">
        <v>0</v>
      </c>
      <c r="F2157" s="311" t="s">
        <v>1391</v>
      </c>
      <c r="G2157" s="306" t="s">
        <v>1391</v>
      </c>
    </row>
    <row r="2158" spans="1:7" x14ac:dyDescent="0.2">
      <c r="A2158" s="310" t="s">
        <v>1366</v>
      </c>
      <c r="B2158" s="310" t="s">
        <v>1376</v>
      </c>
      <c r="C2158" s="309">
        <v>42562</v>
      </c>
      <c r="D2158" s="308" t="s">
        <v>2663</v>
      </c>
      <c r="E2158" s="307">
        <v>0</v>
      </c>
      <c r="F2158" s="311" t="s">
        <v>1391</v>
      </c>
      <c r="G2158" s="306" t="s">
        <v>1391</v>
      </c>
    </row>
    <row r="2159" spans="1:7" x14ac:dyDescent="0.2">
      <c r="A2159" s="310" t="s">
        <v>1364</v>
      </c>
      <c r="B2159" s="310" t="s">
        <v>1371</v>
      </c>
      <c r="C2159" s="309">
        <v>42157</v>
      </c>
      <c r="D2159" s="308" t="s">
        <v>1433</v>
      </c>
      <c r="E2159" s="307">
        <v>0</v>
      </c>
      <c r="F2159" s="311" t="s">
        <v>1391</v>
      </c>
      <c r="G2159" s="307" t="s">
        <v>1391</v>
      </c>
    </row>
    <row r="2160" spans="1:7" x14ac:dyDescent="0.2">
      <c r="A2160" s="310" t="s">
        <v>1364</v>
      </c>
      <c r="B2160" s="310" t="s">
        <v>1371</v>
      </c>
      <c r="C2160" s="309">
        <v>42157</v>
      </c>
      <c r="D2160" s="308" t="s">
        <v>1715</v>
      </c>
      <c r="E2160" s="307">
        <v>0</v>
      </c>
      <c r="F2160" s="311" t="s">
        <v>1391</v>
      </c>
      <c r="G2160" s="307" t="s">
        <v>1391</v>
      </c>
    </row>
    <row r="2161" spans="1:7" x14ac:dyDescent="0.2">
      <c r="A2161" s="310" t="s">
        <v>1364</v>
      </c>
      <c r="B2161" s="310" t="s">
        <v>1371</v>
      </c>
      <c r="C2161" s="309">
        <v>42430</v>
      </c>
      <c r="D2161" s="308" t="s">
        <v>2710</v>
      </c>
      <c r="E2161" s="307">
        <v>0</v>
      </c>
      <c r="F2161" s="311" t="s">
        <v>1391</v>
      </c>
      <c r="G2161" s="307" t="s">
        <v>1391</v>
      </c>
    </row>
    <row r="2162" spans="1:7" x14ac:dyDescent="0.2">
      <c r="A2162" s="310" t="s">
        <v>1362</v>
      </c>
      <c r="B2162" s="310" t="s">
        <v>1365</v>
      </c>
      <c r="C2162" s="309">
        <v>42058</v>
      </c>
      <c r="D2162" s="308" t="s">
        <v>1638</v>
      </c>
      <c r="E2162" s="307">
        <v>0</v>
      </c>
      <c r="F2162" s="311" t="s">
        <v>1391</v>
      </c>
      <c r="G2162" s="307" t="s">
        <v>1391</v>
      </c>
    </row>
    <row r="2163" spans="1:7" x14ac:dyDescent="0.2">
      <c r="A2163" s="310" t="s">
        <v>1362</v>
      </c>
      <c r="B2163" s="310" t="s">
        <v>1365</v>
      </c>
      <c r="C2163" s="309">
        <v>42058</v>
      </c>
      <c r="D2163" s="308" t="s">
        <v>1631</v>
      </c>
      <c r="E2163" s="307">
        <v>0</v>
      </c>
      <c r="F2163" s="311" t="s">
        <v>1391</v>
      </c>
      <c r="G2163" s="307" t="s">
        <v>1391</v>
      </c>
    </row>
    <row r="2164" spans="1:7" x14ac:dyDescent="0.2">
      <c r="A2164" s="310" t="s">
        <v>1362</v>
      </c>
      <c r="B2164" s="310" t="s">
        <v>1365</v>
      </c>
      <c r="C2164" s="309">
        <v>42127</v>
      </c>
      <c r="D2164" s="308" t="s">
        <v>1589</v>
      </c>
      <c r="E2164" s="307">
        <v>0</v>
      </c>
      <c r="F2164" s="311" t="s">
        <v>1391</v>
      </c>
      <c r="G2164" s="307" t="s">
        <v>1391</v>
      </c>
    </row>
    <row r="2165" spans="1:7" x14ac:dyDescent="0.2">
      <c r="A2165" s="310" t="s">
        <v>1362</v>
      </c>
      <c r="B2165" s="310" t="s">
        <v>1365</v>
      </c>
      <c r="C2165" s="309">
        <v>42592</v>
      </c>
      <c r="D2165" s="308" t="s">
        <v>2556</v>
      </c>
      <c r="E2165" s="307">
        <v>0</v>
      </c>
      <c r="F2165" s="311" t="s">
        <v>1391</v>
      </c>
      <c r="G2165" s="307" t="s">
        <v>1391</v>
      </c>
    </row>
    <row r="2166" spans="1:7" x14ac:dyDescent="0.2">
      <c r="A2166" s="310" t="s">
        <v>1362</v>
      </c>
      <c r="B2166" s="310" t="s">
        <v>1365</v>
      </c>
      <c r="C2166" s="309">
        <v>42654</v>
      </c>
      <c r="D2166" s="308" t="s">
        <v>2847</v>
      </c>
      <c r="E2166" s="307">
        <v>0</v>
      </c>
      <c r="F2166" s="311" t="s">
        <v>1391</v>
      </c>
      <c r="G2166" s="307" t="s">
        <v>1391</v>
      </c>
    </row>
    <row r="2167" spans="1:7" x14ac:dyDescent="0.2">
      <c r="A2167" s="310" t="s">
        <v>1362</v>
      </c>
      <c r="B2167" s="310" t="s">
        <v>1365</v>
      </c>
      <c r="C2167" s="309">
        <v>42654</v>
      </c>
      <c r="D2167" s="308" t="s">
        <v>2890</v>
      </c>
      <c r="E2167" s="307">
        <v>0</v>
      </c>
      <c r="F2167" s="311" t="s">
        <v>1391</v>
      </c>
      <c r="G2167" s="307" t="s">
        <v>1391</v>
      </c>
    </row>
    <row r="2168" spans="1:7" x14ac:dyDescent="0.2">
      <c r="A2168" s="310" t="s">
        <v>1362</v>
      </c>
      <c r="B2168" s="310" t="s">
        <v>1365</v>
      </c>
      <c r="C2168" s="309">
        <v>42654</v>
      </c>
      <c r="D2168" s="308" t="s">
        <v>2902</v>
      </c>
      <c r="E2168" s="307">
        <v>0</v>
      </c>
      <c r="F2168" s="311" t="s">
        <v>1391</v>
      </c>
      <c r="G2168" s="307" t="s">
        <v>1391</v>
      </c>
    </row>
    <row r="2169" spans="1:7" x14ac:dyDescent="0.2">
      <c r="A2169" s="310" t="s">
        <v>1362</v>
      </c>
      <c r="B2169" s="310" t="s">
        <v>1365</v>
      </c>
      <c r="C2169" s="309">
        <v>42654</v>
      </c>
      <c r="D2169" s="308" t="s">
        <v>2907</v>
      </c>
      <c r="E2169" s="307">
        <v>0</v>
      </c>
      <c r="F2169" s="311" t="s">
        <v>1391</v>
      </c>
      <c r="G2169" s="307" t="s">
        <v>1391</v>
      </c>
    </row>
    <row r="2170" spans="1:7" x14ac:dyDescent="0.2">
      <c r="A2170" s="310" t="s">
        <v>1362</v>
      </c>
      <c r="B2170" s="310" t="s">
        <v>1365</v>
      </c>
      <c r="C2170" s="309">
        <v>42654</v>
      </c>
      <c r="D2170" s="308" t="s">
        <v>2853</v>
      </c>
      <c r="E2170" s="307">
        <v>0</v>
      </c>
      <c r="F2170" s="311" t="s">
        <v>1391</v>
      </c>
      <c r="G2170" s="307" t="s">
        <v>1391</v>
      </c>
    </row>
    <row r="2171" spans="1:7" x14ac:dyDescent="0.2">
      <c r="A2171" s="310" t="s">
        <v>1360</v>
      </c>
      <c r="B2171" s="310" t="s">
        <v>1371</v>
      </c>
      <c r="C2171" s="309">
        <v>42022</v>
      </c>
      <c r="D2171" s="308" t="s">
        <v>1565</v>
      </c>
      <c r="E2171" s="307">
        <v>0</v>
      </c>
      <c r="F2171" s="311" t="s">
        <v>1391</v>
      </c>
      <c r="G2171" s="307" t="s">
        <v>1391</v>
      </c>
    </row>
    <row r="2172" spans="1:7" x14ac:dyDescent="0.2">
      <c r="A2172" s="310" t="s">
        <v>1360</v>
      </c>
      <c r="B2172" s="310" t="s">
        <v>1371</v>
      </c>
      <c r="C2172" s="309">
        <v>42022</v>
      </c>
      <c r="D2172" s="308" t="s">
        <v>1439</v>
      </c>
      <c r="E2172" s="307">
        <v>0</v>
      </c>
      <c r="F2172" s="311" t="s">
        <v>1391</v>
      </c>
      <c r="G2172" s="307" t="s">
        <v>1391</v>
      </c>
    </row>
    <row r="2173" spans="1:7" x14ac:dyDescent="0.2">
      <c r="A2173" s="310" t="s">
        <v>1360</v>
      </c>
      <c r="B2173" s="310" t="s">
        <v>1371</v>
      </c>
      <c r="C2173" s="309">
        <v>42504</v>
      </c>
      <c r="D2173" s="308" t="s">
        <v>2915</v>
      </c>
      <c r="E2173" s="307">
        <v>0</v>
      </c>
      <c r="F2173" s="311" t="s">
        <v>1391</v>
      </c>
      <c r="G2173" s="307" t="s">
        <v>1391</v>
      </c>
    </row>
    <row r="2174" spans="1:7" x14ac:dyDescent="0.2">
      <c r="A2174" s="310" t="s">
        <v>1360</v>
      </c>
      <c r="B2174" s="310" t="s">
        <v>1371</v>
      </c>
      <c r="C2174" s="309">
        <v>42504</v>
      </c>
      <c r="D2174" s="308" t="s">
        <v>2914</v>
      </c>
      <c r="E2174" s="307">
        <v>0</v>
      </c>
      <c r="F2174" s="311" t="s">
        <v>1391</v>
      </c>
      <c r="G2174" s="307" t="s">
        <v>1391</v>
      </c>
    </row>
    <row r="2175" spans="1:7" x14ac:dyDescent="0.2">
      <c r="A2175" s="310" t="s">
        <v>1359</v>
      </c>
      <c r="B2175" s="310" t="s">
        <v>1363</v>
      </c>
      <c r="C2175" s="309">
        <v>42064</v>
      </c>
      <c r="D2175" s="308" t="s">
        <v>1540</v>
      </c>
      <c r="E2175" s="307">
        <v>0</v>
      </c>
      <c r="F2175" s="311" t="s">
        <v>1391</v>
      </c>
      <c r="G2175" s="307" t="s">
        <v>1391</v>
      </c>
    </row>
    <row r="2176" spans="1:7" x14ac:dyDescent="0.2">
      <c r="A2176" s="310" t="s">
        <v>1359</v>
      </c>
      <c r="B2176" s="310" t="s">
        <v>1363</v>
      </c>
      <c r="C2176" s="309">
        <v>42064</v>
      </c>
      <c r="D2176" s="308" t="s">
        <v>1529</v>
      </c>
      <c r="E2176" s="307">
        <v>0</v>
      </c>
      <c r="F2176" s="311" t="s">
        <v>1391</v>
      </c>
      <c r="G2176" s="307" t="s">
        <v>1391</v>
      </c>
    </row>
    <row r="2177" spans="1:7" x14ac:dyDescent="0.2">
      <c r="A2177" s="310" t="s">
        <v>1359</v>
      </c>
      <c r="B2177" s="310" t="s">
        <v>1363</v>
      </c>
      <c r="C2177" s="309">
        <v>42125</v>
      </c>
      <c r="D2177" s="308" t="s">
        <v>1484</v>
      </c>
      <c r="E2177" s="307">
        <v>0</v>
      </c>
      <c r="F2177" s="311" t="s">
        <v>1391</v>
      </c>
      <c r="G2177" s="307" t="s">
        <v>1391</v>
      </c>
    </row>
    <row r="2178" spans="1:7" x14ac:dyDescent="0.2">
      <c r="A2178" s="310" t="s">
        <v>1359</v>
      </c>
      <c r="B2178" s="310" t="s">
        <v>1363</v>
      </c>
      <c r="C2178" s="309">
        <v>42125</v>
      </c>
      <c r="D2178" s="308" t="s">
        <v>1474</v>
      </c>
      <c r="E2178" s="307">
        <v>0</v>
      </c>
      <c r="F2178" s="311" t="s">
        <v>1391</v>
      </c>
      <c r="G2178" s="307" t="s">
        <v>1391</v>
      </c>
    </row>
    <row r="2179" spans="1:7" x14ac:dyDescent="0.2">
      <c r="A2179" s="310" t="s">
        <v>1359</v>
      </c>
      <c r="B2179" s="310" t="s">
        <v>1363</v>
      </c>
      <c r="C2179" s="309">
        <v>42424</v>
      </c>
      <c r="D2179" s="308" t="s">
        <v>2943</v>
      </c>
      <c r="E2179" s="307">
        <v>0</v>
      </c>
      <c r="F2179" s="311" t="s">
        <v>1391</v>
      </c>
      <c r="G2179" s="307" t="s">
        <v>1391</v>
      </c>
    </row>
    <row r="2180" spans="1:7" x14ac:dyDescent="0.2">
      <c r="A2180" s="310" t="s">
        <v>1359</v>
      </c>
      <c r="B2180" s="310" t="s">
        <v>1363</v>
      </c>
      <c r="C2180" s="309">
        <v>42424</v>
      </c>
      <c r="D2180" s="308" t="s">
        <v>2983</v>
      </c>
      <c r="E2180" s="307">
        <v>0</v>
      </c>
      <c r="F2180" s="311" t="s">
        <v>1391</v>
      </c>
      <c r="G2180" s="307" t="s">
        <v>1391</v>
      </c>
    </row>
    <row r="2181" spans="1:7" x14ac:dyDescent="0.2">
      <c r="A2181" s="310" t="s">
        <v>1359</v>
      </c>
      <c r="B2181" s="310" t="s">
        <v>1363</v>
      </c>
      <c r="C2181" s="309">
        <v>42424</v>
      </c>
      <c r="D2181" s="308" t="s">
        <v>2964</v>
      </c>
      <c r="E2181" s="307">
        <v>0</v>
      </c>
      <c r="F2181" s="311" t="s">
        <v>1391</v>
      </c>
      <c r="G2181" s="307" t="s">
        <v>1391</v>
      </c>
    </row>
    <row r="2182" spans="1:7" x14ac:dyDescent="0.2">
      <c r="A2182" s="310" t="s">
        <v>1359</v>
      </c>
      <c r="B2182" s="310" t="s">
        <v>1363</v>
      </c>
      <c r="C2182" s="309">
        <v>42623</v>
      </c>
      <c r="D2182" s="308" t="s">
        <v>2491</v>
      </c>
      <c r="E2182" s="307">
        <v>0</v>
      </c>
      <c r="F2182" s="311" t="s">
        <v>1391</v>
      </c>
      <c r="G2182" s="307" t="s">
        <v>1391</v>
      </c>
    </row>
    <row r="2183" spans="1:7" x14ac:dyDescent="0.2">
      <c r="A2183" s="310" t="s">
        <v>1358</v>
      </c>
      <c r="B2183" s="310" t="s">
        <v>1375</v>
      </c>
      <c r="C2183" s="309">
        <v>42037</v>
      </c>
      <c r="D2183" s="308" t="s">
        <v>1445</v>
      </c>
      <c r="E2183" s="307">
        <v>0</v>
      </c>
      <c r="F2183" s="311" t="s">
        <v>1391</v>
      </c>
      <c r="G2183" s="307" t="s">
        <v>1391</v>
      </c>
    </row>
    <row r="2184" spans="1:7" x14ac:dyDescent="0.2">
      <c r="A2184" s="310" t="s">
        <v>1358</v>
      </c>
      <c r="B2184" s="310" t="s">
        <v>1375</v>
      </c>
      <c r="C2184" s="309">
        <v>42289</v>
      </c>
      <c r="D2184" s="308" t="s">
        <v>1396</v>
      </c>
      <c r="E2184" s="307">
        <v>0</v>
      </c>
      <c r="F2184" s="311" t="s">
        <v>1391</v>
      </c>
      <c r="G2184" s="307" t="s">
        <v>1391</v>
      </c>
    </row>
    <row r="2185" spans="1:7" x14ac:dyDescent="0.2">
      <c r="A2185" s="310" t="s">
        <v>1358</v>
      </c>
      <c r="B2185" s="310" t="s">
        <v>1375</v>
      </c>
      <c r="C2185" s="309">
        <v>42289</v>
      </c>
      <c r="D2185" s="308" t="s">
        <v>1392</v>
      </c>
      <c r="E2185" s="307">
        <v>0</v>
      </c>
      <c r="F2185" s="311" t="s">
        <v>1391</v>
      </c>
      <c r="G2185" s="307" t="s">
        <v>1391</v>
      </c>
    </row>
    <row r="2186" spans="1:7" x14ac:dyDescent="0.2">
      <c r="A2186" s="310" t="s">
        <v>1358</v>
      </c>
      <c r="B2186" s="310" t="s">
        <v>1375</v>
      </c>
      <c r="C2186" s="309">
        <v>42460</v>
      </c>
      <c r="D2186" s="308" t="s">
        <v>3014</v>
      </c>
      <c r="E2186" s="307">
        <v>0</v>
      </c>
      <c r="F2186" s="311" t="s">
        <v>1391</v>
      </c>
      <c r="G2186" s="307" t="s">
        <v>1391</v>
      </c>
    </row>
    <row r="2187" spans="1:7" x14ac:dyDescent="0.2">
      <c r="A2187" s="310" t="s">
        <v>1358</v>
      </c>
      <c r="B2187" s="310" t="s">
        <v>1375</v>
      </c>
      <c r="C2187" s="309">
        <v>42460</v>
      </c>
      <c r="D2187" s="308" t="s">
        <v>3031</v>
      </c>
      <c r="E2187" s="307">
        <v>0</v>
      </c>
      <c r="F2187" s="311" t="s">
        <v>1391</v>
      </c>
      <c r="G2187" s="307" t="s">
        <v>1391</v>
      </c>
    </row>
    <row r="2188" spans="1:7" x14ac:dyDescent="0.2">
      <c r="A2188" s="310" t="s">
        <v>1358</v>
      </c>
      <c r="B2188" s="310" t="s">
        <v>1375</v>
      </c>
      <c r="C2188" s="309">
        <v>42544</v>
      </c>
      <c r="D2188" s="308" t="s">
        <v>3051</v>
      </c>
      <c r="E2188" s="307">
        <v>0</v>
      </c>
      <c r="F2188" s="311" t="s">
        <v>1391</v>
      </c>
      <c r="G2188" s="307" t="s">
        <v>1391</v>
      </c>
    </row>
    <row r="2189" spans="1:7" x14ac:dyDescent="0.2">
      <c r="A2189" s="310" t="s">
        <v>1358</v>
      </c>
      <c r="B2189" s="310" t="s">
        <v>1375</v>
      </c>
      <c r="C2189" s="309">
        <v>42544</v>
      </c>
      <c r="D2189" s="308" t="s">
        <v>3047</v>
      </c>
      <c r="E2189" s="307">
        <v>0</v>
      </c>
      <c r="F2189" s="311" t="s">
        <v>1391</v>
      </c>
      <c r="G2189" s="307" t="s">
        <v>1391</v>
      </c>
    </row>
    <row r="2190" spans="1:7" x14ac:dyDescent="0.2">
      <c r="A2190" s="310" t="s">
        <v>1358</v>
      </c>
      <c r="B2190" s="310" t="s">
        <v>1375</v>
      </c>
      <c r="C2190" s="309">
        <v>42544</v>
      </c>
      <c r="D2190" s="308" t="s">
        <v>3037</v>
      </c>
      <c r="E2190" s="307">
        <v>0</v>
      </c>
      <c r="F2190" s="311" t="s">
        <v>1391</v>
      </c>
      <c r="G2190" s="307" t="s">
        <v>1391</v>
      </c>
    </row>
    <row r="2191" spans="1:7" x14ac:dyDescent="0.2">
      <c r="A2191" s="310" t="s">
        <v>1358</v>
      </c>
      <c r="B2191" s="310" t="s">
        <v>1375</v>
      </c>
      <c r="C2191" s="309">
        <v>42648</v>
      </c>
      <c r="D2191" s="308" t="s">
        <v>3064</v>
      </c>
      <c r="E2191" s="307">
        <v>0</v>
      </c>
      <c r="F2191" s="311" t="s">
        <v>1391</v>
      </c>
      <c r="G2191" s="307" t="s">
        <v>1391</v>
      </c>
    </row>
    <row r="2192" spans="1:7" x14ac:dyDescent="0.2">
      <c r="A2192" s="310" t="s">
        <v>1358</v>
      </c>
      <c r="B2192" s="310" t="s">
        <v>1375</v>
      </c>
      <c r="C2192" s="309">
        <v>42648</v>
      </c>
      <c r="D2192" s="308" t="s">
        <v>3066</v>
      </c>
      <c r="E2192" s="307">
        <v>0</v>
      </c>
      <c r="F2192" s="311" t="s">
        <v>1391</v>
      </c>
      <c r="G2192" s="307" t="s">
        <v>1391</v>
      </c>
    </row>
  </sheetData>
  <sortState ref="A2:G2192">
    <sortCondition ref="G2:G2192"/>
    <sortCondition ref="A2:A2192"/>
    <sortCondition ref="C2:C2192"/>
  </sortState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39997558519241921"/>
  </sheetPr>
  <dimension ref="A1:M38"/>
  <sheetViews>
    <sheetView showGridLines="0" topLeftCell="A5" workbookViewId="0">
      <selection activeCell="B6" sqref="B6"/>
    </sheetView>
  </sheetViews>
  <sheetFormatPr defaultRowHeight="15" x14ac:dyDescent="0.3"/>
  <sheetData>
    <row r="1" spans="1:8" ht="21.75" x14ac:dyDescent="0.45">
      <c r="A1" s="78" t="s">
        <v>304</v>
      </c>
    </row>
    <row r="2" spans="1:8" x14ac:dyDescent="0.3">
      <c r="A2" s="5" t="s">
        <v>295</v>
      </c>
      <c r="B2" t="s">
        <v>303</v>
      </c>
    </row>
    <row r="3" spans="1:8" x14ac:dyDescent="0.3">
      <c r="A3" s="5"/>
    </row>
    <row r="6" spans="1:8" x14ac:dyDescent="0.3">
      <c r="B6" t="s">
        <v>352</v>
      </c>
      <c r="C6" t="s">
        <v>352</v>
      </c>
      <c r="D6" t="s">
        <v>352</v>
      </c>
      <c r="E6" t="s">
        <v>352</v>
      </c>
      <c r="F6" t="s">
        <v>352</v>
      </c>
      <c r="G6" t="s">
        <v>352</v>
      </c>
      <c r="H6" t="s">
        <v>352</v>
      </c>
    </row>
    <row r="7" spans="1:8" x14ac:dyDescent="0.3">
      <c r="B7" t="s">
        <v>352</v>
      </c>
      <c r="C7" t="s">
        <v>352</v>
      </c>
      <c r="D7" t="s">
        <v>352</v>
      </c>
      <c r="E7" t="s">
        <v>352</v>
      </c>
      <c r="F7" t="s">
        <v>352</v>
      </c>
      <c r="G7" t="s">
        <v>352</v>
      </c>
      <c r="H7" t="s">
        <v>352</v>
      </c>
    </row>
    <row r="8" spans="1:8" x14ac:dyDescent="0.3">
      <c r="B8" t="s">
        <v>352</v>
      </c>
      <c r="C8" t="s">
        <v>352</v>
      </c>
      <c r="D8" t="s">
        <v>352</v>
      </c>
      <c r="E8" t="s">
        <v>352</v>
      </c>
      <c r="F8" t="s">
        <v>352</v>
      </c>
      <c r="G8" t="s">
        <v>352</v>
      </c>
      <c r="H8" t="s">
        <v>352</v>
      </c>
    </row>
    <row r="9" spans="1:8" x14ac:dyDescent="0.3">
      <c r="B9" t="s">
        <v>352</v>
      </c>
      <c r="C9" t="s">
        <v>352</v>
      </c>
      <c r="D9" t="s">
        <v>352</v>
      </c>
      <c r="E9" t="s">
        <v>352</v>
      </c>
      <c r="F9" t="s">
        <v>352</v>
      </c>
      <c r="G9" t="s">
        <v>352</v>
      </c>
      <c r="H9" t="s">
        <v>352</v>
      </c>
    </row>
    <row r="10" spans="1:8" x14ac:dyDescent="0.3">
      <c r="B10" t="s">
        <v>352</v>
      </c>
      <c r="C10" t="s">
        <v>352</v>
      </c>
      <c r="D10" t="s">
        <v>352</v>
      </c>
      <c r="E10" t="s">
        <v>352</v>
      </c>
      <c r="F10" t="s">
        <v>352</v>
      </c>
      <c r="G10" t="s">
        <v>352</v>
      </c>
      <c r="H10" t="s">
        <v>352</v>
      </c>
    </row>
    <row r="11" spans="1:8" x14ac:dyDescent="0.3">
      <c r="B11" t="s">
        <v>352</v>
      </c>
      <c r="C11" t="s">
        <v>352</v>
      </c>
      <c r="D11" t="s">
        <v>352</v>
      </c>
      <c r="E11" t="s">
        <v>352</v>
      </c>
      <c r="F11" t="s">
        <v>352</v>
      </c>
      <c r="G11" t="s">
        <v>352</v>
      </c>
      <c r="H11" t="s">
        <v>352</v>
      </c>
    </row>
    <row r="12" spans="1:8" x14ac:dyDescent="0.3">
      <c r="B12" t="s">
        <v>352</v>
      </c>
      <c r="C12" t="s">
        <v>352</v>
      </c>
      <c r="D12" t="s">
        <v>352</v>
      </c>
      <c r="E12" t="s">
        <v>352</v>
      </c>
      <c r="F12" t="s">
        <v>352</v>
      </c>
      <c r="G12" t="s">
        <v>352</v>
      </c>
      <c r="H12" t="s">
        <v>352</v>
      </c>
    </row>
    <row r="13" spans="1:8" x14ac:dyDescent="0.3">
      <c r="B13" t="s">
        <v>352</v>
      </c>
      <c r="C13" t="s">
        <v>352</v>
      </c>
      <c r="D13" t="s">
        <v>352</v>
      </c>
      <c r="E13" t="s">
        <v>352</v>
      </c>
      <c r="F13" t="s">
        <v>352</v>
      </c>
      <c r="G13" t="s">
        <v>352</v>
      </c>
      <c r="H13" t="s">
        <v>352</v>
      </c>
    </row>
    <row r="14" spans="1:8" x14ac:dyDescent="0.3">
      <c r="B14" t="s">
        <v>352</v>
      </c>
      <c r="C14" t="s">
        <v>352</v>
      </c>
      <c r="D14" t="s">
        <v>352</v>
      </c>
      <c r="E14" t="s">
        <v>352</v>
      </c>
      <c r="F14" t="s">
        <v>352</v>
      </c>
      <c r="G14" t="s">
        <v>352</v>
      </c>
      <c r="H14" t="s">
        <v>352</v>
      </c>
    </row>
    <row r="15" spans="1:8" x14ac:dyDescent="0.3">
      <c r="B15" t="s">
        <v>352</v>
      </c>
      <c r="C15" t="s">
        <v>352</v>
      </c>
      <c r="D15" t="s">
        <v>352</v>
      </c>
      <c r="E15" t="s">
        <v>352</v>
      </c>
      <c r="F15" t="s">
        <v>352</v>
      </c>
      <c r="G15" t="s">
        <v>352</v>
      </c>
      <c r="H15" t="s">
        <v>352</v>
      </c>
    </row>
    <row r="16" spans="1:8" x14ac:dyDescent="0.3">
      <c r="B16" t="s">
        <v>352</v>
      </c>
      <c r="C16" t="s">
        <v>352</v>
      </c>
      <c r="D16" t="s">
        <v>352</v>
      </c>
      <c r="E16" t="s">
        <v>352</v>
      </c>
      <c r="F16" t="s">
        <v>352</v>
      </c>
      <c r="G16" t="s">
        <v>352</v>
      </c>
      <c r="H16" t="s">
        <v>352</v>
      </c>
    </row>
    <row r="17" spans="2:13" x14ac:dyDescent="0.3">
      <c r="B17" t="s">
        <v>352</v>
      </c>
      <c r="C17" t="s">
        <v>352</v>
      </c>
      <c r="D17" t="s">
        <v>352</v>
      </c>
      <c r="E17" t="s">
        <v>352</v>
      </c>
    </row>
    <row r="18" spans="2:13" x14ac:dyDescent="0.3">
      <c r="B18" t="s">
        <v>352</v>
      </c>
      <c r="C18" t="s">
        <v>352</v>
      </c>
      <c r="D18" t="s">
        <v>352</v>
      </c>
      <c r="E18" t="s">
        <v>352</v>
      </c>
    </row>
    <row r="19" spans="2:13" x14ac:dyDescent="0.3">
      <c r="B19" t="s">
        <v>352</v>
      </c>
      <c r="C19" t="s">
        <v>352</v>
      </c>
      <c r="D19" t="s">
        <v>352</v>
      </c>
      <c r="E19" t="s">
        <v>352</v>
      </c>
    </row>
    <row r="20" spans="2:13" x14ac:dyDescent="0.3">
      <c r="B20" t="s">
        <v>352</v>
      </c>
      <c r="C20" t="s">
        <v>352</v>
      </c>
      <c r="D20" t="s">
        <v>352</v>
      </c>
      <c r="E20" t="s">
        <v>352</v>
      </c>
    </row>
    <row r="21" spans="2:13" x14ac:dyDescent="0.3">
      <c r="B21" t="s">
        <v>352</v>
      </c>
      <c r="C21" t="s">
        <v>352</v>
      </c>
      <c r="D21" t="s">
        <v>352</v>
      </c>
      <c r="E21" t="s">
        <v>352</v>
      </c>
    </row>
    <row r="22" spans="2:13" x14ac:dyDescent="0.3">
      <c r="B22" t="s">
        <v>352</v>
      </c>
      <c r="C22" t="s">
        <v>352</v>
      </c>
      <c r="D22" t="s">
        <v>352</v>
      </c>
      <c r="E22" t="s">
        <v>352</v>
      </c>
    </row>
    <row r="23" spans="2:13" x14ac:dyDescent="0.3">
      <c r="B23" t="s">
        <v>352</v>
      </c>
      <c r="C23" t="s">
        <v>352</v>
      </c>
      <c r="D23" t="s">
        <v>352</v>
      </c>
      <c r="E23" t="s">
        <v>352</v>
      </c>
    </row>
    <row r="24" spans="2:13" x14ac:dyDescent="0.3">
      <c r="B24" t="s">
        <v>352</v>
      </c>
      <c r="C24" t="s">
        <v>352</v>
      </c>
      <c r="D24" t="s">
        <v>352</v>
      </c>
      <c r="E24" t="s">
        <v>352</v>
      </c>
      <c r="F24" t="s">
        <v>352</v>
      </c>
      <c r="G24" t="s">
        <v>352</v>
      </c>
      <c r="H24" t="s">
        <v>352</v>
      </c>
    </row>
    <row r="25" spans="2:13" x14ac:dyDescent="0.3">
      <c r="B25" t="s">
        <v>352</v>
      </c>
      <c r="C25" t="s">
        <v>352</v>
      </c>
      <c r="D25" t="s">
        <v>352</v>
      </c>
      <c r="E25" t="s">
        <v>352</v>
      </c>
      <c r="F25" t="s">
        <v>352</v>
      </c>
      <c r="G25" t="s">
        <v>352</v>
      </c>
      <c r="H25" t="s">
        <v>352</v>
      </c>
    </row>
    <row r="26" spans="2:13" x14ac:dyDescent="0.3">
      <c r="B26" t="s">
        <v>352</v>
      </c>
      <c r="C26" t="s">
        <v>352</v>
      </c>
      <c r="D26" t="s">
        <v>352</v>
      </c>
      <c r="E26" t="s">
        <v>352</v>
      </c>
      <c r="F26" t="s">
        <v>352</v>
      </c>
      <c r="G26" t="s">
        <v>352</v>
      </c>
      <c r="H26" t="s">
        <v>352</v>
      </c>
    </row>
    <row r="27" spans="2:13" x14ac:dyDescent="0.3">
      <c r="B27" t="s">
        <v>352</v>
      </c>
      <c r="C27" t="s">
        <v>352</v>
      </c>
      <c r="D27" t="s">
        <v>352</v>
      </c>
      <c r="E27" t="s">
        <v>352</v>
      </c>
      <c r="F27" t="s">
        <v>352</v>
      </c>
      <c r="G27" t="s">
        <v>352</v>
      </c>
      <c r="H27" t="s">
        <v>352</v>
      </c>
    </row>
    <row r="28" spans="2:13" x14ac:dyDescent="0.3">
      <c r="B28" t="s">
        <v>352</v>
      </c>
      <c r="C28" t="s">
        <v>352</v>
      </c>
      <c r="D28" t="s">
        <v>352</v>
      </c>
      <c r="E28" t="s">
        <v>352</v>
      </c>
      <c r="F28" t="s">
        <v>352</v>
      </c>
      <c r="G28" t="s">
        <v>352</v>
      </c>
      <c r="H28" t="s">
        <v>352</v>
      </c>
      <c r="M28" s="15"/>
    </row>
    <row r="29" spans="2:13" x14ac:dyDescent="0.3">
      <c r="B29" t="s">
        <v>352</v>
      </c>
      <c r="C29" t="s">
        <v>352</v>
      </c>
      <c r="D29" t="s">
        <v>352</v>
      </c>
      <c r="E29" t="s">
        <v>352</v>
      </c>
      <c r="F29" t="s">
        <v>352</v>
      </c>
      <c r="G29" t="s">
        <v>352</v>
      </c>
      <c r="H29" t="s">
        <v>352</v>
      </c>
      <c r="M29" s="15"/>
    </row>
    <row r="30" spans="2:13" x14ac:dyDescent="0.3">
      <c r="B30" t="s">
        <v>352</v>
      </c>
      <c r="C30" t="s">
        <v>352</v>
      </c>
      <c r="D30" t="s">
        <v>352</v>
      </c>
      <c r="E30" t="s">
        <v>352</v>
      </c>
      <c r="F30" t="s">
        <v>352</v>
      </c>
      <c r="G30" t="s">
        <v>352</v>
      </c>
      <c r="H30" t="s">
        <v>352</v>
      </c>
    </row>
    <row r="31" spans="2:13" x14ac:dyDescent="0.3">
      <c r="B31" t="s">
        <v>352</v>
      </c>
      <c r="C31" t="s">
        <v>352</v>
      </c>
      <c r="D31" t="s">
        <v>352</v>
      </c>
      <c r="E31" t="s">
        <v>352</v>
      </c>
      <c r="F31" t="s">
        <v>352</v>
      </c>
      <c r="G31" t="s">
        <v>352</v>
      </c>
      <c r="H31" t="s">
        <v>352</v>
      </c>
    </row>
    <row r="32" spans="2:13" x14ac:dyDescent="0.3">
      <c r="B32" t="s">
        <v>352</v>
      </c>
      <c r="C32" t="s">
        <v>352</v>
      </c>
      <c r="D32" t="s">
        <v>352</v>
      </c>
      <c r="E32" t="s">
        <v>352</v>
      </c>
      <c r="F32" t="s">
        <v>352</v>
      </c>
      <c r="G32" t="s">
        <v>352</v>
      </c>
      <c r="H32" t="s">
        <v>352</v>
      </c>
      <c r="M32" s="15"/>
    </row>
    <row r="33" spans="2:8" x14ac:dyDescent="0.3">
      <c r="B33" t="s">
        <v>352</v>
      </c>
      <c r="C33" t="s">
        <v>352</v>
      </c>
      <c r="D33" t="s">
        <v>352</v>
      </c>
      <c r="E33" t="s">
        <v>352</v>
      </c>
      <c r="F33" t="s">
        <v>352</v>
      </c>
      <c r="G33" t="s">
        <v>352</v>
      </c>
      <c r="H33" t="s">
        <v>352</v>
      </c>
    </row>
    <row r="34" spans="2:8" x14ac:dyDescent="0.3">
      <c r="B34" t="s">
        <v>352</v>
      </c>
      <c r="C34" t="s">
        <v>352</v>
      </c>
      <c r="D34" t="s">
        <v>352</v>
      </c>
      <c r="E34" t="s">
        <v>352</v>
      </c>
      <c r="F34" t="s">
        <v>352</v>
      </c>
      <c r="G34" t="s">
        <v>352</v>
      </c>
      <c r="H34" t="s">
        <v>352</v>
      </c>
    </row>
    <row r="35" spans="2:8" x14ac:dyDescent="0.3">
      <c r="B35" t="s">
        <v>352</v>
      </c>
      <c r="C35" t="s">
        <v>352</v>
      </c>
      <c r="D35" t="s">
        <v>352</v>
      </c>
      <c r="E35" t="s">
        <v>352</v>
      </c>
      <c r="F35" t="s">
        <v>352</v>
      </c>
      <c r="G35" t="s">
        <v>352</v>
      </c>
      <c r="H35" t="s">
        <v>352</v>
      </c>
    </row>
    <row r="36" spans="2:8" x14ac:dyDescent="0.3">
      <c r="B36" t="s">
        <v>352</v>
      </c>
      <c r="C36" t="s">
        <v>352</v>
      </c>
      <c r="D36" t="s">
        <v>352</v>
      </c>
      <c r="E36" t="s">
        <v>352</v>
      </c>
      <c r="F36" t="s">
        <v>352</v>
      </c>
      <c r="G36" t="s">
        <v>352</v>
      </c>
      <c r="H36" t="s">
        <v>352</v>
      </c>
    </row>
    <row r="37" spans="2:8" x14ac:dyDescent="0.3">
      <c r="B37" t="s">
        <v>352</v>
      </c>
      <c r="C37" t="s">
        <v>352</v>
      </c>
      <c r="D37" t="s">
        <v>352</v>
      </c>
      <c r="E37" t="s">
        <v>352</v>
      </c>
      <c r="F37" t="s">
        <v>352</v>
      </c>
      <c r="G37" t="s">
        <v>352</v>
      </c>
      <c r="H37" t="s">
        <v>352</v>
      </c>
    </row>
    <row r="38" spans="2:8" x14ac:dyDescent="0.3">
      <c r="B38" t="s">
        <v>352</v>
      </c>
      <c r="C38" t="s">
        <v>352</v>
      </c>
      <c r="D38" t="s">
        <v>352</v>
      </c>
      <c r="E38" t="s">
        <v>352</v>
      </c>
      <c r="F38" t="s">
        <v>352</v>
      </c>
      <c r="G38" t="s">
        <v>352</v>
      </c>
      <c r="H38" t="s">
        <v>352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4:W22"/>
  <sheetViews>
    <sheetView workbookViewId="0">
      <selection activeCell="D27" sqref="D27"/>
    </sheetView>
  </sheetViews>
  <sheetFormatPr defaultRowHeight="15" x14ac:dyDescent="0.3"/>
  <cols>
    <col min="2" max="2" width="21" bestFit="1" customWidth="1"/>
    <col min="13" max="13" width="10.140625" bestFit="1" customWidth="1"/>
  </cols>
  <sheetData>
    <row r="4" spans="2:23" x14ac:dyDescent="0.3">
      <c r="B4" t="s">
        <v>1289</v>
      </c>
      <c r="R4" t="s">
        <v>1332</v>
      </c>
    </row>
    <row r="5" spans="2:23" x14ac:dyDescent="0.3">
      <c r="B5" s="289" t="s">
        <v>1290</v>
      </c>
      <c r="G5" t="s">
        <v>1331</v>
      </c>
      <c r="H5" t="s">
        <v>1324</v>
      </c>
      <c r="I5" t="s">
        <v>1330</v>
      </c>
      <c r="J5" t="s">
        <v>1329</v>
      </c>
      <c r="M5" t="s">
        <v>1287</v>
      </c>
      <c r="N5" t="s">
        <v>1328</v>
      </c>
      <c r="O5" t="s">
        <v>1327</v>
      </c>
      <c r="S5" t="s">
        <v>1326</v>
      </c>
      <c r="T5" t="s">
        <v>1325</v>
      </c>
      <c r="U5" t="s">
        <v>1324</v>
      </c>
      <c r="V5" t="s">
        <v>1323</v>
      </c>
      <c r="W5" t="s">
        <v>1322</v>
      </c>
    </row>
    <row r="6" spans="2:23" x14ac:dyDescent="0.3">
      <c r="B6" s="290" t="s">
        <v>1291</v>
      </c>
      <c r="F6" t="s">
        <v>1321</v>
      </c>
      <c r="G6">
        <v>3000</v>
      </c>
      <c r="H6">
        <v>1500</v>
      </c>
      <c r="I6">
        <v>500</v>
      </c>
      <c r="J6">
        <f t="shared" ref="J6:J12" si="0">SUM(G6:I6)</f>
        <v>5000</v>
      </c>
      <c r="M6">
        <v>38732</v>
      </c>
      <c r="N6" t="s">
        <v>1320</v>
      </c>
      <c r="O6">
        <v>40</v>
      </c>
      <c r="R6" t="s">
        <v>1319</v>
      </c>
      <c r="S6">
        <v>0.85</v>
      </c>
      <c r="T6">
        <v>0.7</v>
      </c>
      <c r="U6">
        <v>0.89</v>
      </c>
      <c r="V6">
        <v>0.94</v>
      </c>
      <c r="W6">
        <v>0.62</v>
      </c>
    </row>
    <row r="7" spans="2:23" x14ac:dyDescent="0.3">
      <c r="B7" s="290" t="s">
        <v>1292</v>
      </c>
      <c r="F7" t="s">
        <v>1318</v>
      </c>
      <c r="G7">
        <v>3000</v>
      </c>
      <c r="H7">
        <v>2500</v>
      </c>
      <c r="I7">
        <v>2000</v>
      </c>
      <c r="J7">
        <f t="shared" si="0"/>
        <v>7500</v>
      </c>
      <c r="M7">
        <v>38836</v>
      </c>
      <c r="N7" t="s">
        <v>1317</v>
      </c>
      <c r="O7">
        <v>50</v>
      </c>
      <c r="R7" t="s">
        <v>1316</v>
      </c>
      <c r="S7">
        <v>0.77</v>
      </c>
      <c r="T7">
        <v>0.65</v>
      </c>
      <c r="U7">
        <v>0.72</v>
      </c>
      <c r="V7">
        <v>0.75</v>
      </c>
      <c r="W7">
        <v>0.85</v>
      </c>
    </row>
    <row r="8" spans="2:23" x14ac:dyDescent="0.3">
      <c r="B8" s="290" t="s">
        <v>1293</v>
      </c>
      <c r="F8" t="s">
        <v>1315</v>
      </c>
      <c r="G8">
        <v>3000</v>
      </c>
      <c r="H8">
        <v>3540</v>
      </c>
      <c r="I8">
        <v>500</v>
      </c>
      <c r="J8">
        <f t="shared" si="0"/>
        <v>7040</v>
      </c>
      <c r="M8">
        <v>38847</v>
      </c>
      <c r="N8" t="s">
        <v>1314</v>
      </c>
      <c r="O8">
        <v>60</v>
      </c>
      <c r="R8" t="s">
        <v>1313</v>
      </c>
      <c r="S8">
        <v>0.8</v>
      </c>
      <c r="T8">
        <v>0.89</v>
      </c>
      <c r="U8">
        <v>0.83</v>
      </c>
      <c r="V8">
        <v>0.81</v>
      </c>
      <c r="W8">
        <v>0.84</v>
      </c>
    </row>
    <row r="9" spans="2:23" x14ac:dyDescent="0.3">
      <c r="B9" s="290" t="s">
        <v>1294</v>
      </c>
      <c r="F9" t="s">
        <v>1312</v>
      </c>
      <c r="G9">
        <v>4200</v>
      </c>
      <c r="H9">
        <v>4600</v>
      </c>
      <c r="I9">
        <v>3500</v>
      </c>
      <c r="J9">
        <f t="shared" si="0"/>
        <v>12300</v>
      </c>
      <c r="M9">
        <v>38873</v>
      </c>
      <c r="N9" t="s">
        <v>1311</v>
      </c>
      <c r="O9">
        <v>70</v>
      </c>
    </row>
    <row r="10" spans="2:23" x14ac:dyDescent="0.3">
      <c r="B10" s="289" t="s">
        <v>1295</v>
      </c>
      <c r="F10" t="s">
        <v>1310</v>
      </c>
      <c r="G10">
        <v>3200</v>
      </c>
      <c r="H10">
        <v>1250</v>
      </c>
      <c r="I10">
        <v>250</v>
      </c>
      <c r="J10">
        <f t="shared" si="0"/>
        <v>4700</v>
      </c>
      <c r="M10">
        <v>39014</v>
      </c>
      <c r="N10" t="s">
        <v>1309</v>
      </c>
      <c r="O10">
        <v>80</v>
      </c>
    </row>
    <row r="11" spans="2:23" x14ac:dyDescent="0.3">
      <c r="B11" s="289" t="s">
        <v>1296</v>
      </c>
      <c r="F11" t="s">
        <v>1308</v>
      </c>
      <c r="G11">
        <v>3200</v>
      </c>
      <c r="H11">
        <v>1680</v>
      </c>
      <c r="I11">
        <v>800</v>
      </c>
      <c r="J11">
        <f t="shared" si="0"/>
        <v>5680</v>
      </c>
      <c r="M11">
        <v>39047</v>
      </c>
      <c r="N11" t="s">
        <v>1307</v>
      </c>
      <c r="O11">
        <v>90</v>
      </c>
    </row>
    <row r="12" spans="2:23" x14ac:dyDescent="0.3">
      <c r="B12" s="289" t="s">
        <v>1297</v>
      </c>
      <c r="F12" t="s">
        <v>1306</v>
      </c>
      <c r="G12">
        <f>SUM(G6:G11)</f>
        <v>19600</v>
      </c>
      <c r="H12">
        <f>SUM(H6:H11)</f>
        <v>15070</v>
      </c>
      <c r="I12">
        <f>SUM(I6:I11)</f>
        <v>7550</v>
      </c>
      <c r="J12">
        <f t="shared" si="0"/>
        <v>42220</v>
      </c>
      <c r="M12">
        <v>39053</v>
      </c>
      <c r="N12" t="s">
        <v>1305</v>
      </c>
      <c r="O12">
        <v>100</v>
      </c>
    </row>
    <row r="13" spans="2:23" x14ac:dyDescent="0.3">
      <c r="B13" s="289" t="s">
        <v>1298</v>
      </c>
    </row>
    <row r="14" spans="2:23" ht="15.75" thickBot="1" x14ac:dyDescent="0.35">
      <c r="B14" s="289" t="s">
        <v>1299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346" t="s">
        <v>1332</v>
      </c>
      <c r="S14" s="346"/>
      <c r="T14" s="346"/>
      <c r="U14" s="346"/>
      <c r="V14" s="135"/>
      <c r="W14" s="135"/>
    </row>
    <row r="15" spans="2:23" ht="15.75" thickBot="1" x14ac:dyDescent="0.35">
      <c r="B15" s="289" t="s">
        <v>1300</v>
      </c>
      <c r="F15" s="283"/>
      <c r="G15" s="282" t="s">
        <v>1331</v>
      </c>
      <c r="H15" s="282" t="s">
        <v>1324</v>
      </c>
      <c r="I15" s="282" t="s">
        <v>1330</v>
      </c>
      <c r="J15" s="281" t="s">
        <v>1329</v>
      </c>
      <c r="K15" s="135"/>
      <c r="L15" s="135"/>
      <c r="M15" s="280" t="s">
        <v>1287</v>
      </c>
      <c r="N15" s="280" t="s">
        <v>1328</v>
      </c>
      <c r="O15" s="280" t="s">
        <v>1327</v>
      </c>
      <c r="P15" s="135"/>
      <c r="Q15" s="135"/>
      <c r="R15" s="135"/>
      <c r="S15" s="279" t="s">
        <v>1326</v>
      </c>
      <c r="T15" s="279" t="s">
        <v>1325</v>
      </c>
      <c r="U15" s="279" t="s">
        <v>1324</v>
      </c>
      <c r="V15" s="279" t="s">
        <v>1323</v>
      </c>
      <c r="W15" s="279" t="s">
        <v>1322</v>
      </c>
    </row>
    <row r="16" spans="2:23" x14ac:dyDescent="0.3">
      <c r="B16" s="289" t="s">
        <v>1301</v>
      </c>
      <c r="F16" s="274" t="s">
        <v>1321</v>
      </c>
      <c r="G16" s="273">
        <v>3000</v>
      </c>
      <c r="H16" s="273">
        <v>1500</v>
      </c>
      <c r="I16" s="273">
        <v>500</v>
      </c>
      <c r="J16" s="273">
        <f t="shared" ref="J16:J22" si="1">SUM(G16:I16)</f>
        <v>5000</v>
      </c>
      <c r="K16" s="135"/>
      <c r="L16" s="135"/>
      <c r="M16" s="272">
        <v>38732</v>
      </c>
      <c r="N16" s="271" t="s">
        <v>1320</v>
      </c>
      <c r="O16" s="271">
        <v>40</v>
      </c>
      <c r="P16" s="135"/>
      <c r="Q16" s="135"/>
      <c r="R16" s="278" t="s">
        <v>1319</v>
      </c>
      <c r="S16" s="277">
        <v>0.85</v>
      </c>
      <c r="T16" s="277">
        <v>0.7</v>
      </c>
      <c r="U16" s="277">
        <v>0.89</v>
      </c>
      <c r="V16" s="277">
        <v>0.94</v>
      </c>
      <c r="W16" s="277">
        <v>0.62</v>
      </c>
    </row>
    <row r="17" spans="2:23" x14ac:dyDescent="0.3">
      <c r="B17" s="289" t="s">
        <v>1302</v>
      </c>
      <c r="F17" s="274" t="s">
        <v>1318</v>
      </c>
      <c r="G17" s="273">
        <v>3000</v>
      </c>
      <c r="H17" s="273">
        <v>2500</v>
      </c>
      <c r="I17" s="273">
        <v>2000</v>
      </c>
      <c r="J17" s="273">
        <f t="shared" si="1"/>
        <v>7500</v>
      </c>
      <c r="K17" s="135"/>
      <c r="L17" s="135"/>
      <c r="M17" s="272">
        <v>38836</v>
      </c>
      <c r="N17" s="271" t="s">
        <v>1317</v>
      </c>
      <c r="O17" s="271">
        <v>50</v>
      </c>
      <c r="P17" s="135"/>
      <c r="Q17" s="135"/>
      <c r="R17" s="278" t="s">
        <v>1316</v>
      </c>
      <c r="S17" s="277">
        <v>0.77</v>
      </c>
      <c r="T17" s="277">
        <v>0.65</v>
      </c>
      <c r="U17" s="277">
        <v>0.72</v>
      </c>
      <c r="V17" s="277">
        <v>0.75</v>
      </c>
      <c r="W17" s="277">
        <v>0.85</v>
      </c>
    </row>
    <row r="18" spans="2:23" x14ac:dyDescent="0.3">
      <c r="F18" s="274" t="s">
        <v>1315</v>
      </c>
      <c r="G18" s="273">
        <v>3000</v>
      </c>
      <c r="H18" s="273">
        <v>3540</v>
      </c>
      <c r="I18" s="273">
        <v>500</v>
      </c>
      <c r="J18" s="273">
        <f t="shared" si="1"/>
        <v>7040</v>
      </c>
      <c r="K18" s="135"/>
      <c r="L18" s="135"/>
      <c r="M18" s="276">
        <v>38847</v>
      </c>
      <c r="N18" s="275" t="s">
        <v>1314</v>
      </c>
      <c r="O18" s="275">
        <v>60</v>
      </c>
      <c r="P18" s="135"/>
      <c r="Q18" s="135"/>
      <c r="R18" s="278" t="s">
        <v>1313</v>
      </c>
      <c r="S18" s="277">
        <v>0.8</v>
      </c>
      <c r="T18" s="277">
        <v>0.89</v>
      </c>
      <c r="U18" s="277">
        <v>0.83</v>
      </c>
      <c r="V18" s="277">
        <v>0.81</v>
      </c>
      <c r="W18" s="277">
        <v>0.84</v>
      </c>
    </row>
    <row r="19" spans="2:23" x14ac:dyDescent="0.3">
      <c r="B19" t="s">
        <v>1303</v>
      </c>
      <c r="F19" s="274" t="s">
        <v>1312</v>
      </c>
      <c r="G19" s="273">
        <v>4200</v>
      </c>
      <c r="H19" s="273">
        <v>4600</v>
      </c>
      <c r="I19" s="273">
        <v>3500</v>
      </c>
      <c r="J19" s="273">
        <f t="shared" si="1"/>
        <v>12300</v>
      </c>
      <c r="K19" s="135"/>
      <c r="L19" s="135"/>
      <c r="M19" s="276">
        <v>38873</v>
      </c>
      <c r="N19" s="275" t="s">
        <v>1311</v>
      </c>
      <c r="O19" s="275">
        <v>70</v>
      </c>
      <c r="P19" s="135"/>
      <c r="Q19" s="135"/>
      <c r="R19" s="135"/>
      <c r="S19" s="135"/>
      <c r="T19" s="135"/>
      <c r="U19" s="135"/>
      <c r="V19" s="135"/>
      <c r="W19" s="135"/>
    </row>
    <row r="20" spans="2:23" x14ac:dyDescent="0.3">
      <c r="F20" s="274" t="s">
        <v>1310</v>
      </c>
      <c r="G20" s="273">
        <v>3200</v>
      </c>
      <c r="H20" s="273">
        <v>1250</v>
      </c>
      <c r="I20" s="273">
        <v>250</v>
      </c>
      <c r="J20" s="273">
        <f t="shared" si="1"/>
        <v>4700</v>
      </c>
      <c r="K20" s="135"/>
      <c r="L20" s="135"/>
      <c r="M20" s="272">
        <v>39014</v>
      </c>
      <c r="N20" s="271" t="s">
        <v>1309</v>
      </c>
      <c r="O20" s="271">
        <v>80</v>
      </c>
      <c r="P20" s="135"/>
      <c r="Q20" s="135"/>
      <c r="R20" s="135"/>
      <c r="S20" s="135"/>
      <c r="T20" s="135"/>
      <c r="U20" s="135"/>
      <c r="V20" s="135"/>
      <c r="W20" s="135"/>
    </row>
    <row r="21" spans="2:23" x14ac:dyDescent="0.3">
      <c r="B21" t="s">
        <v>1304</v>
      </c>
      <c r="F21" s="274" t="s">
        <v>1308</v>
      </c>
      <c r="G21" s="273">
        <v>3200</v>
      </c>
      <c r="H21" s="273">
        <v>1680</v>
      </c>
      <c r="I21" s="273">
        <v>800</v>
      </c>
      <c r="J21" s="273">
        <f t="shared" si="1"/>
        <v>5680</v>
      </c>
      <c r="K21" s="135"/>
      <c r="L21" s="135"/>
      <c r="M21" s="272">
        <v>39047</v>
      </c>
      <c r="N21" s="271" t="s">
        <v>1307</v>
      </c>
      <c r="O21" s="271">
        <v>90</v>
      </c>
      <c r="P21" s="135"/>
      <c r="Q21" s="135"/>
      <c r="R21" s="135"/>
      <c r="S21" s="135"/>
      <c r="T21" s="135"/>
      <c r="U21" s="135"/>
      <c r="V21" s="135"/>
      <c r="W21" s="135"/>
    </row>
    <row r="22" spans="2:23" ht="15.75" thickBot="1" x14ac:dyDescent="0.35">
      <c r="F22" s="270" t="s">
        <v>1306</v>
      </c>
      <c r="G22" s="269">
        <f>SUM(G16:G21)</f>
        <v>19600</v>
      </c>
      <c r="H22" s="269">
        <f>SUM(H16:H21)</f>
        <v>15070</v>
      </c>
      <c r="I22" s="269">
        <f>SUM(I16:I21)</f>
        <v>7550</v>
      </c>
      <c r="J22" s="269">
        <f t="shared" si="1"/>
        <v>42220</v>
      </c>
      <c r="K22" s="135"/>
      <c r="L22" s="135"/>
      <c r="M22" s="268">
        <v>39053</v>
      </c>
      <c r="N22" s="267" t="s">
        <v>1305</v>
      </c>
      <c r="O22" s="267">
        <v>100</v>
      </c>
      <c r="P22" s="135"/>
      <c r="Q22" s="135"/>
      <c r="R22" s="135"/>
      <c r="S22" s="135"/>
      <c r="T22" s="135"/>
      <c r="U22" s="135"/>
      <c r="V22" s="135"/>
      <c r="W22" s="135"/>
    </row>
  </sheetData>
  <mergeCells count="1">
    <mergeCell ref="R14:U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O4"/>
  <sheetViews>
    <sheetView showGridLines="0" workbookViewId="0"/>
  </sheetViews>
  <sheetFormatPr defaultRowHeight="15" x14ac:dyDescent="0.3"/>
  <sheetData>
    <row r="1" spans="1:15" ht="21.75" x14ac:dyDescent="0.45">
      <c r="A1" s="78" t="s">
        <v>948</v>
      </c>
    </row>
    <row r="2" spans="1:15" x14ac:dyDescent="0.3">
      <c r="A2" s="5" t="s">
        <v>972</v>
      </c>
      <c r="K2" s="82" t="s">
        <v>952</v>
      </c>
      <c r="L2" s="83"/>
      <c r="M2" s="83"/>
      <c r="N2" s="83"/>
      <c r="O2" s="83"/>
    </row>
    <row r="3" spans="1:15" x14ac:dyDescent="0.3">
      <c r="A3" s="5" t="s">
        <v>973</v>
      </c>
      <c r="K3" s="83" t="s">
        <v>951</v>
      </c>
      <c r="L3" s="83"/>
      <c r="M3" s="83"/>
      <c r="N3" s="83"/>
      <c r="O3" s="83"/>
    </row>
    <row r="4" spans="1:15" x14ac:dyDescent="0.3">
      <c r="A4" s="5" t="s">
        <v>974</v>
      </c>
      <c r="K4" s="83"/>
      <c r="L4" s="83"/>
      <c r="M4" s="83"/>
      <c r="N4" s="83"/>
      <c r="O4" s="83"/>
    </row>
  </sheetData>
  <phoneticPr fontId="5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34"/>
  <sheetViews>
    <sheetView showGridLines="0" topLeftCell="A2" workbookViewId="0">
      <selection activeCell="C15" sqref="C15"/>
    </sheetView>
  </sheetViews>
  <sheetFormatPr defaultRowHeight="15" x14ac:dyDescent="0.3"/>
  <cols>
    <col min="2" max="2" width="14.7109375" bestFit="1" customWidth="1"/>
    <col min="3" max="3" width="6.140625" customWidth="1"/>
    <col min="9" max="9" width="0.140625" customWidth="1"/>
  </cols>
  <sheetData>
    <row r="1" spans="1:6" ht="21.75" x14ac:dyDescent="0.45">
      <c r="A1" s="78" t="s">
        <v>975</v>
      </c>
    </row>
    <row r="3" spans="1:6" s="74" customFormat="1" x14ac:dyDescent="0.3">
      <c r="B3" s="72" t="s">
        <v>896</v>
      </c>
      <c r="C3" s="73" t="s">
        <v>899</v>
      </c>
      <c r="F3" s="74" t="s">
        <v>976</v>
      </c>
    </row>
    <row r="4" spans="1:6" x14ac:dyDescent="0.3">
      <c r="B4" s="75" t="s">
        <v>931</v>
      </c>
      <c r="C4" s="68">
        <v>30</v>
      </c>
    </row>
    <row r="5" spans="1:6" x14ac:dyDescent="0.3">
      <c r="B5" s="75" t="s">
        <v>924</v>
      </c>
      <c r="C5" s="68">
        <v>17</v>
      </c>
    </row>
    <row r="6" spans="1:6" x14ac:dyDescent="0.3">
      <c r="B6" s="75" t="s">
        <v>913</v>
      </c>
      <c r="C6" s="68">
        <v>18</v>
      </c>
    </row>
    <row r="7" spans="1:6" x14ac:dyDescent="0.3">
      <c r="B7" s="75" t="s">
        <v>904</v>
      </c>
      <c r="C7" s="68">
        <v>32</v>
      </c>
    </row>
    <row r="8" spans="1:6" x14ac:dyDescent="0.3">
      <c r="B8" s="75" t="s">
        <v>932</v>
      </c>
      <c r="C8" s="68">
        <v>15</v>
      </c>
    </row>
    <row r="9" spans="1:6" x14ac:dyDescent="0.3">
      <c r="B9" s="75" t="s">
        <v>930</v>
      </c>
      <c r="C9" s="68">
        <v>24</v>
      </c>
    </row>
    <row r="10" spans="1:6" x14ac:dyDescent="0.3">
      <c r="B10" s="75" t="s">
        <v>923</v>
      </c>
      <c r="C10" s="68">
        <v>16</v>
      </c>
    </row>
    <row r="11" spans="1:6" x14ac:dyDescent="0.3">
      <c r="B11" s="75" t="s">
        <v>926</v>
      </c>
      <c r="C11" s="68">
        <v>8</v>
      </c>
    </row>
    <row r="12" spans="1:6" x14ac:dyDescent="0.3">
      <c r="B12" s="75" t="s">
        <v>920</v>
      </c>
      <c r="C12" s="68">
        <v>4</v>
      </c>
    </row>
    <row r="13" spans="1:6" x14ac:dyDescent="0.3">
      <c r="B13" s="75" t="s">
        <v>929</v>
      </c>
      <c r="C13" s="68">
        <v>28</v>
      </c>
    </row>
    <row r="14" spans="1:6" x14ac:dyDescent="0.3">
      <c r="B14" s="75" t="s">
        <v>927</v>
      </c>
      <c r="C14" s="68">
        <v>7</v>
      </c>
    </row>
    <row r="15" spans="1:6" x14ac:dyDescent="0.3">
      <c r="B15" s="75" t="s">
        <v>914</v>
      </c>
      <c r="C15" s="68">
        <v>32</v>
      </c>
    </row>
    <row r="16" spans="1:6" x14ac:dyDescent="0.3">
      <c r="B16" s="75" t="s">
        <v>908</v>
      </c>
      <c r="C16" s="68">
        <v>25</v>
      </c>
    </row>
    <row r="17" spans="2:3" x14ac:dyDescent="0.3">
      <c r="B17" s="75" t="s">
        <v>915</v>
      </c>
      <c r="C17" s="68">
        <v>11</v>
      </c>
    </row>
    <row r="18" spans="2:3" x14ac:dyDescent="0.3">
      <c r="B18" s="75" t="s">
        <v>906</v>
      </c>
      <c r="C18" s="68">
        <v>26</v>
      </c>
    </row>
    <row r="19" spans="2:3" x14ac:dyDescent="0.3">
      <c r="B19" s="75" t="s">
        <v>909</v>
      </c>
      <c r="C19" s="68">
        <v>16</v>
      </c>
    </row>
    <row r="20" spans="2:3" x14ac:dyDescent="0.3">
      <c r="B20" s="75" t="s">
        <v>925</v>
      </c>
      <c r="C20" s="68">
        <v>13</v>
      </c>
    </row>
    <row r="21" spans="2:3" x14ac:dyDescent="0.3">
      <c r="B21" s="75" t="s">
        <v>922</v>
      </c>
      <c r="C21" s="68">
        <v>12</v>
      </c>
    </row>
    <row r="22" spans="2:3" x14ac:dyDescent="0.3">
      <c r="B22" s="75" t="s">
        <v>916</v>
      </c>
      <c r="C22" s="68">
        <v>14</v>
      </c>
    </row>
    <row r="23" spans="2:3" x14ac:dyDescent="0.3">
      <c r="B23" s="75" t="s">
        <v>911</v>
      </c>
      <c r="C23" s="68">
        <v>14</v>
      </c>
    </row>
    <row r="24" spans="2:3" x14ac:dyDescent="0.3">
      <c r="B24" s="75" t="s">
        <v>928</v>
      </c>
      <c r="C24" s="68">
        <v>21</v>
      </c>
    </row>
    <row r="25" spans="2:3" x14ac:dyDescent="0.3">
      <c r="B25" s="75" t="s">
        <v>903</v>
      </c>
      <c r="C25" s="68">
        <v>12</v>
      </c>
    </row>
    <row r="26" spans="2:3" x14ac:dyDescent="0.3">
      <c r="B26" s="75" t="s">
        <v>910</v>
      </c>
      <c r="C26" s="68">
        <v>24</v>
      </c>
    </row>
    <row r="27" spans="2:3" x14ac:dyDescent="0.3">
      <c r="B27" s="75" t="s">
        <v>921</v>
      </c>
      <c r="C27" s="68">
        <v>17</v>
      </c>
    </row>
    <row r="28" spans="2:3" x14ac:dyDescent="0.3">
      <c r="B28" s="75" t="s">
        <v>933</v>
      </c>
      <c r="C28" s="68">
        <v>19</v>
      </c>
    </row>
    <row r="29" spans="2:3" x14ac:dyDescent="0.3">
      <c r="B29" s="75" t="s">
        <v>919</v>
      </c>
      <c r="C29" s="68">
        <v>31</v>
      </c>
    </row>
    <row r="30" spans="2:3" x14ac:dyDescent="0.3">
      <c r="B30" s="75" t="s">
        <v>905</v>
      </c>
      <c r="C30" s="68">
        <v>9</v>
      </c>
    </row>
    <row r="31" spans="2:3" x14ac:dyDescent="0.3">
      <c r="B31" s="75" t="s">
        <v>912</v>
      </c>
      <c r="C31" s="68">
        <v>12</v>
      </c>
    </row>
    <row r="32" spans="2:3" x14ac:dyDescent="0.3">
      <c r="B32" s="75" t="s">
        <v>917</v>
      </c>
      <c r="C32" s="68">
        <v>11</v>
      </c>
    </row>
    <row r="33" spans="2:3" x14ac:dyDescent="0.3">
      <c r="B33" s="75" t="s">
        <v>918</v>
      </c>
      <c r="C33" s="68">
        <v>5</v>
      </c>
    </row>
    <row r="34" spans="2:3" x14ac:dyDescent="0.3">
      <c r="B34" s="75" t="s">
        <v>907</v>
      </c>
      <c r="C34" s="68">
        <v>29</v>
      </c>
    </row>
  </sheetData>
  <phoneticPr fontId="5" type="noConversion"/>
  <conditionalFormatting sqref="C4:C34">
    <cfRule type="cellIs" dxfId="5" priority="1" stopIfTrue="1" operator="greaterThan">
      <formula>20</formula>
    </cfRule>
  </conditionalFormatting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41"/>
  <sheetViews>
    <sheetView showGridLines="0" workbookViewId="0">
      <selection activeCell="K24" sqref="K24"/>
    </sheetView>
  </sheetViews>
  <sheetFormatPr defaultRowHeight="15" x14ac:dyDescent="0.3"/>
  <cols>
    <col min="2" max="2" width="14.7109375" bestFit="1" customWidth="1"/>
    <col min="3" max="7" width="7.5703125" customWidth="1"/>
    <col min="13" max="13" width="0.140625" customWidth="1"/>
  </cols>
  <sheetData>
    <row r="1" spans="1:7" ht="21.75" x14ac:dyDescent="0.45">
      <c r="A1" s="78" t="s">
        <v>977</v>
      </c>
    </row>
    <row r="3" spans="1:7" x14ac:dyDescent="0.3">
      <c r="B3" t="s">
        <v>939</v>
      </c>
    </row>
    <row r="4" spans="1:7" x14ac:dyDescent="0.3">
      <c r="B4" t="s">
        <v>940</v>
      </c>
    </row>
    <row r="5" spans="1:7" x14ac:dyDescent="0.3">
      <c r="B5" t="s">
        <v>941</v>
      </c>
    </row>
    <row r="7" spans="1:7" x14ac:dyDescent="0.3">
      <c r="B7" t="s">
        <v>942</v>
      </c>
    </row>
    <row r="10" spans="1:7" s="74" customFormat="1" x14ac:dyDescent="0.3">
      <c r="B10" s="72" t="s">
        <v>896</v>
      </c>
      <c r="C10" s="73" t="s">
        <v>938</v>
      </c>
      <c r="D10" s="73" t="s">
        <v>898</v>
      </c>
      <c r="E10" s="73" t="s">
        <v>899</v>
      </c>
      <c r="F10" s="73" t="s">
        <v>900</v>
      </c>
      <c r="G10" s="73" t="s">
        <v>901</v>
      </c>
    </row>
    <row r="11" spans="1:7" x14ac:dyDescent="0.3">
      <c r="B11" s="75" t="s">
        <v>931</v>
      </c>
      <c r="C11" s="68">
        <v>349</v>
      </c>
      <c r="D11" s="76">
        <v>246</v>
      </c>
      <c r="E11" s="68">
        <v>30</v>
      </c>
      <c r="F11" s="68">
        <v>73</v>
      </c>
      <c r="G11" s="68">
        <v>113</v>
      </c>
    </row>
    <row r="12" spans="1:7" x14ac:dyDescent="0.3">
      <c r="B12" s="75" t="s">
        <v>924</v>
      </c>
      <c r="C12" s="68">
        <v>293</v>
      </c>
      <c r="D12" s="76">
        <v>270</v>
      </c>
      <c r="E12" s="68">
        <v>17</v>
      </c>
      <c r="F12" s="68">
        <v>33</v>
      </c>
      <c r="G12" s="68">
        <v>72</v>
      </c>
    </row>
    <row r="13" spans="1:7" x14ac:dyDescent="0.3">
      <c r="B13" s="75" t="s">
        <v>913</v>
      </c>
      <c r="C13" s="68">
        <v>338</v>
      </c>
      <c r="D13" s="76">
        <v>299</v>
      </c>
      <c r="E13" s="68">
        <v>18</v>
      </c>
      <c r="F13" s="68">
        <v>21</v>
      </c>
      <c r="G13" s="68">
        <v>62</v>
      </c>
    </row>
    <row r="14" spans="1:7" x14ac:dyDescent="0.3">
      <c r="B14" s="75" t="s">
        <v>904</v>
      </c>
      <c r="C14" s="68">
        <v>291</v>
      </c>
      <c r="D14" s="76">
        <v>330</v>
      </c>
      <c r="E14" s="68">
        <v>32</v>
      </c>
      <c r="F14" s="68">
        <v>57</v>
      </c>
      <c r="G14" s="68">
        <v>26</v>
      </c>
    </row>
    <row r="15" spans="1:7" x14ac:dyDescent="0.3">
      <c r="B15" s="75" t="s">
        <v>932</v>
      </c>
      <c r="C15" s="68">
        <v>280</v>
      </c>
      <c r="D15" s="76">
        <v>239</v>
      </c>
      <c r="E15" s="68">
        <v>15</v>
      </c>
      <c r="F15" s="68">
        <v>37</v>
      </c>
      <c r="G15" s="68">
        <v>99</v>
      </c>
    </row>
    <row r="16" spans="1:7" x14ac:dyDescent="0.3">
      <c r="B16" s="75" t="s">
        <v>930</v>
      </c>
      <c r="C16" s="68">
        <v>336</v>
      </c>
      <c r="D16" s="76">
        <v>250</v>
      </c>
      <c r="E16" s="68">
        <v>24</v>
      </c>
      <c r="F16" s="68">
        <v>39</v>
      </c>
      <c r="G16" s="68">
        <v>84</v>
      </c>
    </row>
    <row r="17" spans="2:7" x14ac:dyDescent="0.3">
      <c r="B17" s="75" t="s">
        <v>923</v>
      </c>
      <c r="C17" s="68">
        <v>332</v>
      </c>
      <c r="D17" s="76">
        <v>271</v>
      </c>
      <c r="E17" s="68">
        <v>16</v>
      </c>
      <c r="F17" s="68">
        <v>31</v>
      </c>
      <c r="G17" s="68">
        <v>92</v>
      </c>
    </row>
    <row r="18" spans="2:7" x14ac:dyDescent="0.3">
      <c r="B18" s="75" t="s">
        <v>926</v>
      </c>
      <c r="C18" s="68">
        <v>276</v>
      </c>
      <c r="D18" s="76">
        <v>264</v>
      </c>
      <c r="E18" s="68">
        <v>8</v>
      </c>
      <c r="F18" s="68">
        <v>40</v>
      </c>
      <c r="G18" s="68">
        <v>37</v>
      </c>
    </row>
    <row r="19" spans="2:7" x14ac:dyDescent="0.3">
      <c r="B19" s="75" t="s">
        <v>920</v>
      </c>
      <c r="C19" s="68">
        <v>307</v>
      </c>
      <c r="D19" s="76">
        <v>280</v>
      </c>
      <c r="E19" s="68">
        <v>4</v>
      </c>
      <c r="F19" s="68">
        <v>35</v>
      </c>
      <c r="G19" s="68">
        <v>49</v>
      </c>
    </row>
    <row r="20" spans="2:7" x14ac:dyDescent="0.3">
      <c r="B20" s="75" t="s">
        <v>929</v>
      </c>
      <c r="C20" s="68">
        <v>294</v>
      </c>
      <c r="D20" s="76">
        <v>255</v>
      </c>
      <c r="E20" s="68">
        <v>28</v>
      </c>
      <c r="F20" s="68">
        <v>68</v>
      </c>
      <c r="G20" s="68">
        <v>74</v>
      </c>
    </row>
    <row r="21" spans="2:7" x14ac:dyDescent="0.3">
      <c r="B21" s="75" t="s">
        <v>927</v>
      </c>
      <c r="C21" s="68">
        <v>280</v>
      </c>
      <c r="D21" s="76">
        <v>261</v>
      </c>
      <c r="E21" s="68">
        <v>7</v>
      </c>
      <c r="F21" s="68">
        <v>26</v>
      </c>
      <c r="G21" s="68">
        <v>38</v>
      </c>
    </row>
    <row r="22" spans="2:7" x14ac:dyDescent="0.3">
      <c r="B22" s="75" t="s">
        <v>914</v>
      </c>
      <c r="C22" s="68">
        <v>317</v>
      </c>
      <c r="D22" s="76">
        <v>297</v>
      </c>
      <c r="E22" s="68">
        <v>32</v>
      </c>
      <c r="F22" s="68">
        <v>61</v>
      </c>
      <c r="G22" s="68">
        <v>99</v>
      </c>
    </row>
    <row r="23" spans="2:7" x14ac:dyDescent="0.3">
      <c r="B23" s="75" t="s">
        <v>908</v>
      </c>
      <c r="C23" s="68">
        <v>337</v>
      </c>
      <c r="D23" s="76">
        <v>309</v>
      </c>
      <c r="E23" s="68">
        <v>25</v>
      </c>
      <c r="F23" s="68">
        <v>27</v>
      </c>
      <c r="G23" s="68">
        <v>60</v>
      </c>
    </row>
    <row r="24" spans="2:7" x14ac:dyDescent="0.3">
      <c r="B24" s="75" t="s">
        <v>915</v>
      </c>
      <c r="C24" s="68">
        <v>353</v>
      </c>
      <c r="D24" s="76">
        <v>289</v>
      </c>
      <c r="E24" s="68">
        <v>11</v>
      </c>
      <c r="F24" s="68">
        <v>60</v>
      </c>
      <c r="G24" s="68">
        <v>76</v>
      </c>
    </row>
    <row r="25" spans="2:7" x14ac:dyDescent="0.3">
      <c r="B25" s="75" t="s">
        <v>906</v>
      </c>
      <c r="C25" s="68">
        <v>335</v>
      </c>
      <c r="D25" s="76">
        <v>316</v>
      </c>
      <c r="E25" s="68">
        <v>26</v>
      </c>
      <c r="F25" s="68">
        <v>50</v>
      </c>
      <c r="G25" s="68">
        <v>64</v>
      </c>
    </row>
    <row r="26" spans="2:7" x14ac:dyDescent="0.3">
      <c r="B26" s="75" t="s">
        <v>909</v>
      </c>
      <c r="C26" s="68">
        <v>357</v>
      </c>
      <c r="D26" s="76">
        <v>305</v>
      </c>
      <c r="E26" s="68">
        <v>16</v>
      </c>
      <c r="F26" s="68">
        <v>34</v>
      </c>
      <c r="G26" s="68">
        <v>57</v>
      </c>
    </row>
    <row r="27" spans="2:7" x14ac:dyDescent="0.3">
      <c r="B27" s="75" t="s">
        <v>925</v>
      </c>
      <c r="C27" s="68">
        <v>383</v>
      </c>
      <c r="D27" s="76">
        <v>269</v>
      </c>
      <c r="E27" s="68">
        <v>13</v>
      </c>
      <c r="F27" s="68">
        <v>53</v>
      </c>
      <c r="G27" s="68">
        <v>75</v>
      </c>
    </row>
    <row r="28" spans="2:7" x14ac:dyDescent="0.3">
      <c r="B28" s="75" t="s">
        <v>922</v>
      </c>
      <c r="C28" s="68">
        <v>299</v>
      </c>
      <c r="D28" s="76">
        <v>271</v>
      </c>
      <c r="E28" s="68">
        <v>12</v>
      </c>
      <c r="F28" s="68">
        <v>37</v>
      </c>
      <c r="G28" s="68">
        <v>71</v>
      </c>
    </row>
    <row r="29" spans="2:7" x14ac:dyDescent="0.3">
      <c r="B29" s="75" t="s">
        <v>916</v>
      </c>
      <c r="C29" s="68">
        <v>296</v>
      </c>
      <c r="D29" s="76">
        <v>284</v>
      </c>
      <c r="E29" s="68">
        <v>14</v>
      </c>
      <c r="F29" s="68">
        <v>30</v>
      </c>
      <c r="G29" s="68">
        <v>63</v>
      </c>
    </row>
    <row r="30" spans="2:7" x14ac:dyDescent="0.3">
      <c r="B30" s="75" t="s">
        <v>911</v>
      </c>
      <c r="C30" s="68">
        <v>324</v>
      </c>
      <c r="D30" s="76">
        <v>302</v>
      </c>
      <c r="E30" s="68">
        <v>14</v>
      </c>
      <c r="F30" s="68">
        <v>63</v>
      </c>
      <c r="G30" s="68">
        <v>53</v>
      </c>
    </row>
    <row r="31" spans="2:7" x14ac:dyDescent="0.3">
      <c r="B31" s="75" t="s">
        <v>928</v>
      </c>
      <c r="C31" s="68">
        <v>337</v>
      </c>
      <c r="D31" s="76">
        <v>258</v>
      </c>
      <c r="E31" s="68">
        <v>21</v>
      </c>
      <c r="F31" s="68">
        <v>62</v>
      </c>
      <c r="G31" s="68">
        <v>90</v>
      </c>
    </row>
    <row r="32" spans="2:7" x14ac:dyDescent="0.3">
      <c r="B32" s="75" t="s">
        <v>903</v>
      </c>
      <c r="C32" s="68">
        <v>305</v>
      </c>
      <c r="D32" s="76">
        <v>334</v>
      </c>
      <c r="E32" s="68">
        <v>12</v>
      </c>
      <c r="F32" s="68">
        <v>28</v>
      </c>
      <c r="G32" s="68">
        <v>17</v>
      </c>
    </row>
    <row r="33" spans="2:7" x14ac:dyDescent="0.3">
      <c r="B33" s="75" t="s">
        <v>910</v>
      </c>
      <c r="C33" s="68">
        <v>348</v>
      </c>
      <c r="D33" s="76">
        <v>302</v>
      </c>
      <c r="E33" s="68">
        <v>24</v>
      </c>
      <c r="F33" s="68">
        <v>39</v>
      </c>
      <c r="G33" s="68">
        <v>56</v>
      </c>
    </row>
    <row r="34" spans="2:7" x14ac:dyDescent="0.3">
      <c r="B34" s="75" t="s">
        <v>921</v>
      </c>
      <c r="C34" s="68">
        <v>358</v>
      </c>
      <c r="D34" s="76">
        <v>279</v>
      </c>
      <c r="E34" s="68">
        <v>17</v>
      </c>
      <c r="F34" s="68">
        <v>29</v>
      </c>
      <c r="G34" s="68">
        <v>82</v>
      </c>
    </row>
    <row r="35" spans="2:7" x14ac:dyDescent="0.3">
      <c r="B35" s="75" t="s">
        <v>933</v>
      </c>
      <c r="C35" s="68">
        <v>361</v>
      </c>
      <c r="D35" s="76">
        <v>224</v>
      </c>
      <c r="E35" s="68">
        <v>19</v>
      </c>
      <c r="F35" s="68">
        <v>35</v>
      </c>
      <c r="G35" s="68">
        <v>99</v>
      </c>
    </row>
    <row r="36" spans="2:7" x14ac:dyDescent="0.3">
      <c r="B36" s="75" t="s">
        <v>919</v>
      </c>
      <c r="C36" s="68">
        <v>342</v>
      </c>
      <c r="D36" s="76">
        <v>281</v>
      </c>
      <c r="E36" s="68">
        <v>31</v>
      </c>
      <c r="F36" s="68">
        <v>37</v>
      </c>
      <c r="G36" s="68">
        <v>104</v>
      </c>
    </row>
    <row r="37" spans="2:7" x14ac:dyDescent="0.3">
      <c r="B37" s="75" t="s">
        <v>905</v>
      </c>
      <c r="C37" s="68">
        <v>268</v>
      </c>
      <c r="D37" s="76">
        <v>321</v>
      </c>
      <c r="E37" s="68">
        <v>9</v>
      </c>
      <c r="F37" s="68">
        <v>43</v>
      </c>
      <c r="G37" s="68">
        <v>21</v>
      </c>
    </row>
    <row r="38" spans="2:7" x14ac:dyDescent="0.3">
      <c r="B38" s="75" t="s">
        <v>912</v>
      </c>
      <c r="C38" s="68">
        <v>296</v>
      </c>
      <c r="D38" s="76">
        <v>301</v>
      </c>
      <c r="E38" s="68">
        <v>12</v>
      </c>
      <c r="F38" s="68">
        <v>14</v>
      </c>
      <c r="G38" s="68">
        <v>40</v>
      </c>
    </row>
    <row r="39" spans="2:7" x14ac:dyDescent="0.3">
      <c r="B39" s="75" t="s">
        <v>917</v>
      </c>
      <c r="C39" s="68">
        <v>292</v>
      </c>
      <c r="D39" s="76">
        <v>284</v>
      </c>
      <c r="E39" s="68">
        <v>11</v>
      </c>
      <c r="F39" s="68">
        <v>59</v>
      </c>
      <c r="G39" s="68">
        <v>37</v>
      </c>
    </row>
    <row r="40" spans="2:7" x14ac:dyDescent="0.3">
      <c r="B40" s="75" t="s">
        <v>918</v>
      </c>
      <c r="C40" s="68">
        <v>297</v>
      </c>
      <c r="D40" s="76">
        <v>283</v>
      </c>
      <c r="E40" s="68">
        <v>5</v>
      </c>
      <c r="F40" s="68">
        <v>35</v>
      </c>
      <c r="G40" s="68">
        <v>26</v>
      </c>
    </row>
    <row r="41" spans="2:7" x14ac:dyDescent="0.3">
      <c r="B41" s="75" t="s">
        <v>907</v>
      </c>
      <c r="C41" s="68">
        <v>325</v>
      </c>
      <c r="D41" s="76">
        <v>311</v>
      </c>
      <c r="E41" s="68">
        <v>29</v>
      </c>
      <c r="F41" s="68">
        <v>72</v>
      </c>
      <c r="G41" s="68">
        <v>74</v>
      </c>
    </row>
  </sheetData>
  <autoFilter ref="B10:G41"/>
  <phoneticPr fontId="5" type="noConversion"/>
  <conditionalFormatting sqref="B11:G41">
    <cfRule type="expression" dxfId="4" priority="1" stopIfTrue="1">
      <formula>ROW()=EVEN(ROW())</formula>
    </cfRule>
  </conditionalFormatting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L38"/>
  <sheetViews>
    <sheetView showGridLines="0" workbookViewId="0">
      <selection activeCell="P23" sqref="P23"/>
    </sheetView>
  </sheetViews>
  <sheetFormatPr defaultRowHeight="15" x14ac:dyDescent="0.3"/>
  <cols>
    <col min="1" max="1" width="3.5703125" style="42" customWidth="1"/>
    <col min="2" max="2" width="15.85546875" style="42" customWidth="1"/>
    <col min="3" max="3" width="5.85546875" style="69" customWidth="1"/>
    <col min="4" max="4" width="4" style="70" bestFit="1" customWidth="1"/>
    <col min="5" max="5" width="6" style="69" customWidth="1"/>
    <col min="6" max="6" width="4.140625" style="70" customWidth="1"/>
    <col min="7" max="7" width="6" style="69" customWidth="1"/>
    <col min="8" max="8" width="3" style="70" bestFit="1" customWidth="1"/>
    <col min="9" max="9" width="5.42578125" style="69" customWidth="1"/>
    <col min="10" max="10" width="3" style="70" bestFit="1" customWidth="1"/>
    <col min="11" max="11" width="5.42578125" style="69" customWidth="1"/>
    <col min="12" max="12" width="4" style="70" bestFit="1" customWidth="1"/>
    <col min="13" max="16384" width="9.140625" style="42"/>
  </cols>
  <sheetData>
    <row r="1" spans="1:12" ht="21.75" x14ac:dyDescent="0.45">
      <c r="A1" s="78" t="s">
        <v>978</v>
      </c>
    </row>
    <row r="2" spans="1:12" ht="15.75" customHeight="1" x14ac:dyDescent="0.45">
      <c r="B2" s="78"/>
      <c r="C2" s="42"/>
    </row>
    <row r="3" spans="1:12" ht="15.75" customHeight="1" x14ac:dyDescent="0.45">
      <c r="A3" t="s">
        <v>979</v>
      </c>
      <c r="B3" s="78"/>
      <c r="C3" s="42"/>
    </row>
    <row r="4" spans="1:12" ht="15.75" customHeight="1" x14ac:dyDescent="0.45">
      <c r="A4" t="s">
        <v>980</v>
      </c>
      <c r="B4" s="78"/>
      <c r="C4" s="42"/>
    </row>
    <row r="5" spans="1:12" ht="15.75" customHeight="1" x14ac:dyDescent="0.3"/>
    <row r="6" spans="1:12" ht="15.75" customHeight="1" x14ac:dyDescent="0.3">
      <c r="B6" s="5" t="s">
        <v>896</v>
      </c>
      <c r="C6" s="347" t="s">
        <v>897</v>
      </c>
      <c r="D6" s="348"/>
      <c r="E6" s="347" t="s">
        <v>934</v>
      </c>
      <c r="F6" s="348" t="s">
        <v>898</v>
      </c>
      <c r="G6" s="347" t="s">
        <v>935</v>
      </c>
      <c r="H6" s="348" t="s">
        <v>899</v>
      </c>
      <c r="I6" s="347" t="s">
        <v>936</v>
      </c>
      <c r="J6" s="348" t="s">
        <v>900</v>
      </c>
      <c r="K6" s="347" t="s">
        <v>937</v>
      </c>
      <c r="L6" s="348" t="s">
        <v>901</v>
      </c>
    </row>
    <row r="7" spans="1:12" x14ac:dyDescent="0.3">
      <c r="B7" s="42" t="s">
        <v>903</v>
      </c>
      <c r="C7" s="69" t="str">
        <f t="shared" ref="C7:C37" si="0">REPT("|",D7/20)</f>
        <v>|||||||||||||||</v>
      </c>
      <c r="D7" s="70">
        <v>305</v>
      </c>
      <c r="E7" s="69" t="str">
        <f>REPT("|",F7/24)</f>
        <v>|||||||||||||</v>
      </c>
      <c r="F7" s="71">
        <v>334</v>
      </c>
      <c r="G7" s="69" t="str">
        <f t="shared" ref="G7:G37" si="1">REPT("|",H7/2)</f>
        <v>||||||</v>
      </c>
      <c r="H7" s="70">
        <v>12</v>
      </c>
      <c r="I7" s="69" t="str">
        <f t="shared" ref="I7:I37" si="2">REPT("|",J7/4)</f>
        <v>|||||||</v>
      </c>
      <c r="J7" s="70">
        <v>28</v>
      </c>
      <c r="K7" s="69" t="str">
        <f t="shared" ref="K7:K37" si="3">REPT("|",L7/6)</f>
        <v>||</v>
      </c>
      <c r="L7" s="70">
        <v>17</v>
      </c>
    </row>
    <row r="8" spans="1:12" x14ac:dyDescent="0.3">
      <c r="B8" s="42" t="s">
        <v>904</v>
      </c>
      <c r="C8" s="69" t="str">
        <f t="shared" si="0"/>
        <v>||||||||||||||</v>
      </c>
      <c r="D8" s="70">
        <v>291</v>
      </c>
      <c r="E8" s="69" t="str">
        <f t="shared" ref="E8:E38" si="4">REPT("|",F8/24)</f>
        <v>|||||||||||||</v>
      </c>
      <c r="F8" s="71">
        <v>330</v>
      </c>
      <c r="G8" s="69" t="str">
        <f t="shared" si="1"/>
        <v>||||||||||||||||</v>
      </c>
      <c r="H8" s="70">
        <v>32</v>
      </c>
      <c r="I8" s="69" t="str">
        <f t="shared" si="2"/>
        <v>||||||||||||||</v>
      </c>
      <c r="J8" s="70">
        <v>57</v>
      </c>
      <c r="K8" s="69" t="str">
        <f t="shared" si="3"/>
        <v>||||</v>
      </c>
      <c r="L8" s="70">
        <v>26</v>
      </c>
    </row>
    <row r="9" spans="1:12" x14ac:dyDescent="0.3">
      <c r="B9" s="42" t="s">
        <v>905</v>
      </c>
      <c r="C9" s="69" t="str">
        <f t="shared" si="0"/>
        <v>|||||||||||||</v>
      </c>
      <c r="D9" s="70">
        <v>268</v>
      </c>
      <c r="E9" s="69" t="str">
        <f t="shared" si="4"/>
        <v>|||||||||||||</v>
      </c>
      <c r="F9" s="71">
        <v>321</v>
      </c>
      <c r="G9" s="69" t="str">
        <f t="shared" si="1"/>
        <v>||||</v>
      </c>
      <c r="H9" s="70">
        <v>9</v>
      </c>
      <c r="I9" s="69" t="str">
        <f t="shared" si="2"/>
        <v>||||||||||</v>
      </c>
      <c r="J9" s="70">
        <v>43</v>
      </c>
      <c r="K9" s="69" t="str">
        <f t="shared" si="3"/>
        <v>|||</v>
      </c>
      <c r="L9" s="70">
        <v>21</v>
      </c>
    </row>
    <row r="10" spans="1:12" x14ac:dyDescent="0.3">
      <c r="B10" s="42" t="s">
        <v>906</v>
      </c>
      <c r="C10" s="69" t="str">
        <f t="shared" si="0"/>
        <v>||||||||||||||||</v>
      </c>
      <c r="D10" s="70">
        <v>335</v>
      </c>
      <c r="E10" s="69" t="str">
        <f t="shared" si="4"/>
        <v>|||||||||||||</v>
      </c>
      <c r="F10" s="71">
        <v>316</v>
      </c>
      <c r="G10" s="69" t="str">
        <f t="shared" si="1"/>
        <v>|||||||||||||</v>
      </c>
      <c r="H10" s="70">
        <v>26</v>
      </c>
      <c r="I10" s="69" t="str">
        <f t="shared" si="2"/>
        <v>||||||||||||</v>
      </c>
      <c r="J10" s="70">
        <v>50</v>
      </c>
      <c r="K10" s="69" t="str">
        <f t="shared" si="3"/>
        <v>||||||||||</v>
      </c>
      <c r="L10" s="70">
        <v>64</v>
      </c>
    </row>
    <row r="11" spans="1:12" x14ac:dyDescent="0.3">
      <c r="B11" s="42" t="s">
        <v>907</v>
      </c>
      <c r="C11" s="69" t="str">
        <f t="shared" si="0"/>
        <v>||||||||||||||||</v>
      </c>
      <c r="D11" s="70">
        <v>325</v>
      </c>
      <c r="E11" s="69" t="str">
        <f t="shared" si="4"/>
        <v>||||||||||||</v>
      </c>
      <c r="F11" s="71">
        <v>311</v>
      </c>
      <c r="G11" s="69" t="str">
        <f t="shared" si="1"/>
        <v>||||||||||||||</v>
      </c>
      <c r="H11" s="70">
        <v>29</v>
      </c>
      <c r="I11" s="69" t="str">
        <f t="shared" si="2"/>
        <v>||||||||||||||||||</v>
      </c>
      <c r="J11" s="70">
        <v>72</v>
      </c>
      <c r="K11" s="69" t="str">
        <f t="shared" si="3"/>
        <v>||||||||||||</v>
      </c>
      <c r="L11" s="70">
        <v>74</v>
      </c>
    </row>
    <row r="12" spans="1:12" x14ac:dyDescent="0.3">
      <c r="B12" s="42" t="s">
        <v>908</v>
      </c>
      <c r="C12" s="69" t="str">
        <f t="shared" si="0"/>
        <v>||||||||||||||||</v>
      </c>
      <c r="D12" s="70">
        <v>337</v>
      </c>
      <c r="E12" s="69" t="str">
        <f t="shared" si="4"/>
        <v>||||||||||||</v>
      </c>
      <c r="F12" s="71">
        <v>309</v>
      </c>
      <c r="G12" s="69" t="str">
        <f t="shared" si="1"/>
        <v>||||||||||||</v>
      </c>
      <c r="H12" s="70">
        <v>25</v>
      </c>
      <c r="I12" s="69" t="str">
        <f t="shared" si="2"/>
        <v>||||||</v>
      </c>
      <c r="J12" s="70">
        <v>27</v>
      </c>
      <c r="K12" s="69" t="str">
        <f t="shared" si="3"/>
        <v>||||||||||</v>
      </c>
      <c r="L12" s="70">
        <v>60</v>
      </c>
    </row>
    <row r="13" spans="1:12" x14ac:dyDescent="0.3">
      <c r="B13" s="42" t="s">
        <v>909</v>
      </c>
      <c r="C13" s="69" t="str">
        <f t="shared" si="0"/>
        <v>|||||||||||||||||</v>
      </c>
      <c r="D13" s="70">
        <v>357</v>
      </c>
      <c r="E13" s="69" t="str">
        <f t="shared" si="4"/>
        <v>||||||||||||</v>
      </c>
      <c r="F13" s="71">
        <v>305</v>
      </c>
      <c r="G13" s="69" t="str">
        <f t="shared" si="1"/>
        <v>||||||||</v>
      </c>
      <c r="H13" s="70">
        <v>16</v>
      </c>
      <c r="I13" s="69" t="str">
        <f t="shared" si="2"/>
        <v>||||||||</v>
      </c>
      <c r="J13" s="70">
        <v>34</v>
      </c>
      <c r="K13" s="69" t="str">
        <f t="shared" si="3"/>
        <v>|||||||||</v>
      </c>
      <c r="L13" s="70">
        <v>57</v>
      </c>
    </row>
    <row r="14" spans="1:12" x14ac:dyDescent="0.3">
      <c r="B14" s="42" t="s">
        <v>910</v>
      </c>
      <c r="C14" s="69" t="str">
        <f t="shared" si="0"/>
        <v>|||||||||||||||||</v>
      </c>
      <c r="D14" s="70">
        <v>348</v>
      </c>
      <c r="E14" s="69" t="str">
        <f t="shared" si="4"/>
        <v>||||||||||||</v>
      </c>
      <c r="F14" s="71">
        <v>302</v>
      </c>
      <c r="G14" s="69" t="str">
        <f t="shared" si="1"/>
        <v>||||||||||||</v>
      </c>
      <c r="H14" s="70">
        <v>24</v>
      </c>
      <c r="I14" s="69" t="str">
        <f t="shared" si="2"/>
        <v>|||||||||</v>
      </c>
      <c r="J14" s="70">
        <v>39</v>
      </c>
      <c r="K14" s="69" t="str">
        <f t="shared" si="3"/>
        <v>|||||||||</v>
      </c>
      <c r="L14" s="70">
        <v>56</v>
      </c>
    </row>
    <row r="15" spans="1:12" x14ac:dyDescent="0.3">
      <c r="B15" s="42" t="s">
        <v>911</v>
      </c>
      <c r="C15" s="69" t="str">
        <f t="shared" si="0"/>
        <v>||||||||||||||||</v>
      </c>
      <c r="D15" s="70">
        <v>324</v>
      </c>
      <c r="E15" s="69" t="str">
        <f t="shared" si="4"/>
        <v>||||||||||||</v>
      </c>
      <c r="F15" s="71">
        <v>302</v>
      </c>
      <c r="G15" s="69" t="str">
        <f t="shared" si="1"/>
        <v>|||||||</v>
      </c>
      <c r="H15" s="70">
        <v>14</v>
      </c>
      <c r="I15" s="69" t="str">
        <f t="shared" si="2"/>
        <v>|||||||||||||||</v>
      </c>
      <c r="J15" s="70">
        <v>63</v>
      </c>
      <c r="K15" s="69" t="str">
        <f t="shared" si="3"/>
        <v>||||||||</v>
      </c>
      <c r="L15" s="70">
        <v>53</v>
      </c>
    </row>
    <row r="16" spans="1:12" x14ac:dyDescent="0.3">
      <c r="B16" s="42" t="s">
        <v>912</v>
      </c>
      <c r="C16" s="69" t="str">
        <f t="shared" si="0"/>
        <v>||||||||||||||</v>
      </c>
      <c r="D16" s="70">
        <v>296</v>
      </c>
      <c r="E16" s="69" t="str">
        <f t="shared" si="4"/>
        <v>||||||||||||</v>
      </c>
      <c r="F16" s="71">
        <v>301</v>
      </c>
      <c r="G16" s="69" t="str">
        <f t="shared" si="1"/>
        <v>||||||</v>
      </c>
      <c r="H16" s="70">
        <v>12</v>
      </c>
      <c r="I16" s="69" t="str">
        <f t="shared" si="2"/>
        <v>|||</v>
      </c>
      <c r="J16" s="70">
        <v>14</v>
      </c>
      <c r="K16" s="69" t="str">
        <f t="shared" si="3"/>
        <v>||||||</v>
      </c>
      <c r="L16" s="70">
        <v>40</v>
      </c>
    </row>
    <row r="17" spans="2:12" x14ac:dyDescent="0.3">
      <c r="B17" s="42" t="s">
        <v>913</v>
      </c>
      <c r="C17" s="69" t="str">
        <f t="shared" si="0"/>
        <v>||||||||||||||||</v>
      </c>
      <c r="D17" s="70">
        <v>338</v>
      </c>
      <c r="E17" s="69" t="str">
        <f t="shared" si="4"/>
        <v>||||||||||||</v>
      </c>
      <c r="F17" s="71">
        <v>299</v>
      </c>
      <c r="G17" s="69" t="str">
        <f t="shared" si="1"/>
        <v>|||||||||</v>
      </c>
      <c r="H17" s="70">
        <v>18</v>
      </c>
      <c r="I17" s="69" t="str">
        <f t="shared" si="2"/>
        <v>|||||</v>
      </c>
      <c r="J17" s="70">
        <v>21</v>
      </c>
      <c r="K17" s="69" t="str">
        <f t="shared" si="3"/>
        <v>||||||||||</v>
      </c>
      <c r="L17" s="70">
        <v>62</v>
      </c>
    </row>
    <row r="18" spans="2:12" x14ac:dyDescent="0.3">
      <c r="B18" s="42" t="s">
        <v>914</v>
      </c>
      <c r="C18" s="69" t="str">
        <f t="shared" si="0"/>
        <v>|||||||||||||||</v>
      </c>
      <c r="D18" s="70">
        <v>317</v>
      </c>
      <c r="E18" s="69" t="str">
        <f t="shared" si="4"/>
        <v>||||||||||||</v>
      </c>
      <c r="F18" s="71">
        <v>297</v>
      </c>
      <c r="G18" s="69" t="str">
        <f t="shared" si="1"/>
        <v>||||||||||||||||</v>
      </c>
      <c r="H18" s="70">
        <v>32</v>
      </c>
      <c r="I18" s="69" t="str">
        <f t="shared" si="2"/>
        <v>|||||||||||||||</v>
      </c>
      <c r="J18" s="70">
        <v>61</v>
      </c>
      <c r="K18" s="69" t="str">
        <f t="shared" si="3"/>
        <v>||||||||||||||||</v>
      </c>
      <c r="L18" s="70">
        <v>99</v>
      </c>
    </row>
    <row r="19" spans="2:12" x14ac:dyDescent="0.3">
      <c r="B19" s="42" t="s">
        <v>915</v>
      </c>
      <c r="C19" s="69" t="str">
        <f t="shared" si="0"/>
        <v>|||||||||||||||||</v>
      </c>
      <c r="D19" s="70">
        <v>353</v>
      </c>
      <c r="E19" s="69" t="str">
        <f t="shared" si="4"/>
        <v>||||||||||||</v>
      </c>
      <c r="F19" s="71">
        <v>289</v>
      </c>
      <c r="G19" s="69" t="str">
        <f t="shared" si="1"/>
        <v>|||||</v>
      </c>
      <c r="H19" s="70">
        <v>11</v>
      </c>
      <c r="I19" s="69" t="str">
        <f t="shared" si="2"/>
        <v>|||||||||||||||</v>
      </c>
      <c r="J19" s="70">
        <v>60</v>
      </c>
      <c r="K19" s="69" t="str">
        <f t="shared" si="3"/>
        <v>||||||||||||</v>
      </c>
      <c r="L19" s="70">
        <v>76</v>
      </c>
    </row>
    <row r="20" spans="2:12" x14ac:dyDescent="0.3">
      <c r="B20" s="42" t="s">
        <v>916</v>
      </c>
      <c r="C20" s="69" t="str">
        <f t="shared" si="0"/>
        <v>||||||||||||||</v>
      </c>
      <c r="D20" s="70">
        <v>296</v>
      </c>
      <c r="E20" s="69" t="str">
        <f t="shared" si="4"/>
        <v>|||||||||||</v>
      </c>
      <c r="F20" s="71">
        <v>284</v>
      </c>
      <c r="G20" s="69" t="str">
        <f t="shared" si="1"/>
        <v>|||||||</v>
      </c>
      <c r="H20" s="70">
        <v>14</v>
      </c>
      <c r="I20" s="69" t="str">
        <f t="shared" si="2"/>
        <v>|||||||</v>
      </c>
      <c r="J20" s="70">
        <v>30</v>
      </c>
      <c r="K20" s="69" t="str">
        <f t="shared" si="3"/>
        <v>||||||||||</v>
      </c>
      <c r="L20" s="70">
        <v>63</v>
      </c>
    </row>
    <row r="21" spans="2:12" x14ac:dyDescent="0.3">
      <c r="B21" s="42" t="s">
        <v>917</v>
      </c>
      <c r="C21" s="69" t="str">
        <f t="shared" si="0"/>
        <v>||||||||||||||</v>
      </c>
      <c r="D21" s="70">
        <v>292</v>
      </c>
      <c r="E21" s="69" t="str">
        <f t="shared" si="4"/>
        <v>|||||||||||</v>
      </c>
      <c r="F21" s="71">
        <v>284</v>
      </c>
      <c r="G21" s="69" t="str">
        <f t="shared" si="1"/>
        <v>|||||</v>
      </c>
      <c r="H21" s="70">
        <v>11</v>
      </c>
      <c r="I21" s="69" t="str">
        <f t="shared" si="2"/>
        <v>||||||||||||||</v>
      </c>
      <c r="J21" s="70">
        <v>59</v>
      </c>
      <c r="K21" s="69" t="str">
        <f t="shared" si="3"/>
        <v>||||||</v>
      </c>
      <c r="L21" s="70">
        <v>37</v>
      </c>
    </row>
    <row r="22" spans="2:12" x14ac:dyDescent="0.3">
      <c r="B22" s="42" t="s">
        <v>918</v>
      </c>
      <c r="C22" s="69" t="str">
        <f t="shared" si="0"/>
        <v>||||||||||||||</v>
      </c>
      <c r="D22" s="70">
        <v>297</v>
      </c>
      <c r="E22" s="69" t="str">
        <f t="shared" si="4"/>
        <v>|||||||||||</v>
      </c>
      <c r="F22" s="71">
        <v>283</v>
      </c>
      <c r="G22" s="69" t="str">
        <f t="shared" si="1"/>
        <v>||</v>
      </c>
      <c r="H22" s="70">
        <v>5</v>
      </c>
      <c r="I22" s="69" t="str">
        <f t="shared" si="2"/>
        <v>||||||||</v>
      </c>
      <c r="J22" s="70">
        <v>35</v>
      </c>
      <c r="K22" s="69" t="str">
        <f t="shared" si="3"/>
        <v>||||</v>
      </c>
      <c r="L22" s="70">
        <v>26</v>
      </c>
    </row>
    <row r="23" spans="2:12" x14ac:dyDescent="0.3">
      <c r="B23" s="42" t="s">
        <v>919</v>
      </c>
      <c r="C23" s="69" t="str">
        <f t="shared" si="0"/>
        <v>|||||||||||||||||</v>
      </c>
      <c r="D23" s="70">
        <v>342</v>
      </c>
      <c r="E23" s="69" t="str">
        <f t="shared" si="4"/>
        <v>|||||||||||</v>
      </c>
      <c r="F23" s="71">
        <v>281</v>
      </c>
      <c r="G23" s="69" t="str">
        <f t="shared" si="1"/>
        <v>|||||||||||||||</v>
      </c>
      <c r="H23" s="70">
        <v>31</v>
      </c>
      <c r="I23" s="69" t="str">
        <f t="shared" si="2"/>
        <v>|||||||||</v>
      </c>
      <c r="J23" s="70">
        <v>37</v>
      </c>
      <c r="K23" s="69" t="str">
        <f t="shared" si="3"/>
        <v>|||||||||||||||||</v>
      </c>
      <c r="L23" s="70">
        <v>104</v>
      </c>
    </row>
    <row r="24" spans="2:12" x14ac:dyDescent="0.3">
      <c r="B24" s="42" t="s">
        <v>920</v>
      </c>
      <c r="C24" s="69" t="str">
        <f t="shared" si="0"/>
        <v>|||||||||||||||</v>
      </c>
      <c r="D24" s="70">
        <v>307</v>
      </c>
      <c r="E24" s="69" t="str">
        <f t="shared" si="4"/>
        <v>|||||||||||</v>
      </c>
      <c r="F24" s="71">
        <v>280</v>
      </c>
      <c r="G24" s="69" t="str">
        <f t="shared" si="1"/>
        <v>||</v>
      </c>
      <c r="H24" s="70">
        <v>4</v>
      </c>
      <c r="I24" s="69" t="str">
        <f t="shared" si="2"/>
        <v>||||||||</v>
      </c>
      <c r="J24" s="70">
        <v>35</v>
      </c>
      <c r="K24" s="69" t="str">
        <f t="shared" si="3"/>
        <v>||||||||</v>
      </c>
      <c r="L24" s="70">
        <v>49</v>
      </c>
    </row>
    <row r="25" spans="2:12" x14ac:dyDescent="0.3">
      <c r="B25" s="42" t="s">
        <v>921</v>
      </c>
      <c r="C25" s="69" t="str">
        <f t="shared" si="0"/>
        <v>|||||||||||||||||</v>
      </c>
      <c r="D25" s="70">
        <v>358</v>
      </c>
      <c r="E25" s="69" t="str">
        <f t="shared" si="4"/>
        <v>|||||||||||</v>
      </c>
      <c r="F25" s="71">
        <v>279</v>
      </c>
      <c r="G25" s="69" t="str">
        <f t="shared" si="1"/>
        <v>||||||||</v>
      </c>
      <c r="H25" s="70">
        <v>17</v>
      </c>
      <c r="I25" s="69" t="str">
        <f t="shared" si="2"/>
        <v>|||||||</v>
      </c>
      <c r="J25" s="70">
        <v>29</v>
      </c>
      <c r="K25" s="69" t="str">
        <f t="shared" si="3"/>
        <v>|||||||||||||</v>
      </c>
      <c r="L25" s="70">
        <v>82</v>
      </c>
    </row>
    <row r="26" spans="2:12" x14ac:dyDescent="0.3">
      <c r="B26" s="42" t="s">
        <v>922</v>
      </c>
      <c r="C26" s="69" t="str">
        <f t="shared" si="0"/>
        <v>||||||||||||||</v>
      </c>
      <c r="D26" s="70">
        <v>299</v>
      </c>
      <c r="E26" s="69" t="str">
        <f t="shared" si="4"/>
        <v>|||||||||||</v>
      </c>
      <c r="F26" s="71">
        <v>271</v>
      </c>
      <c r="G26" s="69" t="str">
        <f t="shared" si="1"/>
        <v>||||||</v>
      </c>
      <c r="H26" s="70">
        <v>12</v>
      </c>
      <c r="I26" s="69" t="str">
        <f t="shared" si="2"/>
        <v>|||||||||</v>
      </c>
      <c r="J26" s="70">
        <v>37</v>
      </c>
      <c r="K26" s="69" t="str">
        <f t="shared" si="3"/>
        <v>|||||||||||</v>
      </c>
      <c r="L26" s="70">
        <v>71</v>
      </c>
    </row>
    <row r="27" spans="2:12" x14ac:dyDescent="0.3">
      <c r="B27" s="42" t="s">
        <v>923</v>
      </c>
      <c r="C27" s="69" t="str">
        <f t="shared" si="0"/>
        <v>||||||||||||||||</v>
      </c>
      <c r="D27" s="70">
        <v>332</v>
      </c>
      <c r="E27" s="69" t="str">
        <f t="shared" si="4"/>
        <v>|||||||||||</v>
      </c>
      <c r="F27" s="71">
        <v>271</v>
      </c>
      <c r="G27" s="69" t="str">
        <f t="shared" si="1"/>
        <v>||||||||</v>
      </c>
      <c r="H27" s="70">
        <v>16</v>
      </c>
      <c r="I27" s="69" t="str">
        <f t="shared" si="2"/>
        <v>|||||||</v>
      </c>
      <c r="J27" s="70">
        <v>31</v>
      </c>
      <c r="K27" s="69" t="str">
        <f t="shared" si="3"/>
        <v>|||||||||||||||</v>
      </c>
      <c r="L27" s="70">
        <v>92</v>
      </c>
    </row>
    <row r="28" spans="2:12" x14ac:dyDescent="0.3">
      <c r="B28" s="42" t="s">
        <v>924</v>
      </c>
      <c r="C28" s="69" t="str">
        <f t="shared" si="0"/>
        <v>||||||||||||||</v>
      </c>
      <c r="D28" s="70">
        <v>293</v>
      </c>
      <c r="E28" s="69" t="str">
        <f t="shared" si="4"/>
        <v>|||||||||||</v>
      </c>
      <c r="F28" s="71">
        <v>270</v>
      </c>
      <c r="G28" s="69" t="str">
        <f t="shared" si="1"/>
        <v>||||||||</v>
      </c>
      <c r="H28" s="70">
        <v>17</v>
      </c>
      <c r="I28" s="69" t="str">
        <f t="shared" si="2"/>
        <v>||||||||</v>
      </c>
      <c r="J28" s="70">
        <v>33</v>
      </c>
      <c r="K28" s="69" t="str">
        <f t="shared" si="3"/>
        <v>||||||||||||</v>
      </c>
      <c r="L28" s="70">
        <v>72</v>
      </c>
    </row>
    <row r="29" spans="2:12" x14ac:dyDescent="0.3">
      <c r="B29" s="42" t="s">
        <v>925</v>
      </c>
      <c r="C29" s="69" t="str">
        <f t="shared" si="0"/>
        <v>|||||||||||||||||||</v>
      </c>
      <c r="D29" s="70">
        <v>383</v>
      </c>
      <c r="E29" s="69" t="str">
        <f t="shared" si="4"/>
        <v>|||||||||||</v>
      </c>
      <c r="F29" s="71">
        <v>269</v>
      </c>
      <c r="G29" s="69" t="str">
        <f t="shared" si="1"/>
        <v>||||||</v>
      </c>
      <c r="H29" s="70">
        <v>13</v>
      </c>
      <c r="I29" s="69" t="str">
        <f t="shared" si="2"/>
        <v>|||||||||||||</v>
      </c>
      <c r="J29" s="70">
        <v>53</v>
      </c>
      <c r="K29" s="69" t="str">
        <f t="shared" si="3"/>
        <v>||||||||||||</v>
      </c>
      <c r="L29" s="70">
        <v>75</v>
      </c>
    </row>
    <row r="30" spans="2:12" x14ac:dyDescent="0.3">
      <c r="B30" s="42" t="s">
        <v>926</v>
      </c>
      <c r="C30" s="69" t="str">
        <f t="shared" si="0"/>
        <v>|||||||||||||</v>
      </c>
      <c r="D30" s="70">
        <v>276</v>
      </c>
      <c r="E30" s="69" t="str">
        <f t="shared" si="4"/>
        <v>|||||||||||</v>
      </c>
      <c r="F30" s="71">
        <v>264</v>
      </c>
      <c r="G30" s="69" t="str">
        <f t="shared" si="1"/>
        <v>||||</v>
      </c>
      <c r="H30" s="70">
        <v>8</v>
      </c>
      <c r="I30" s="69" t="str">
        <f t="shared" si="2"/>
        <v>||||||||||</v>
      </c>
      <c r="J30" s="70">
        <v>40</v>
      </c>
      <c r="K30" s="69" t="str">
        <f t="shared" si="3"/>
        <v>||||||</v>
      </c>
      <c r="L30" s="70">
        <v>37</v>
      </c>
    </row>
    <row r="31" spans="2:12" x14ac:dyDescent="0.3">
      <c r="B31" s="42" t="s">
        <v>927</v>
      </c>
      <c r="C31" s="69" t="str">
        <f t="shared" si="0"/>
        <v>||||||||||||||</v>
      </c>
      <c r="D31" s="70">
        <v>280</v>
      </c>
      <c r="E31" s="69" t="str">
        <f t="shared" si="4"/>
        <v>||||||||||</v>
      </c>
      <c r="F31" s="71">
        <v>261</v>
      </c>
      <c r="G31" s="69" t="str">
        <f t="shared" si="1"/>
        <v>|||</v>
      </c>
      <c r="H31" s="70">
        <v>7</v>
      </c>
      <c r="I31" s="69" t="str">
        <f t="shared" si="2"/>
        <v>||||||</v>
      </c>
      <c r="J31" s="70">
        <v>26</v>
      </c>
      <c r="K31" s="69" t="str">
        <f t="shared" si="3"/>
        <v>||||||</v>
      </c>
      <c r="L31" s="70">
        <v>38</v>
      </c>
    </row>
    <row r="32" spans="2:12" x14ac:dyDescent="0.3">
      <c r="B32" s="42" t="s">
        <v>928</v>
      </c>
      <c r="C32" s="69" t="str">
        <f t="shared" si="0"/>
        <v>||||||||||||||||</v>
      </c>
      <c r="D32" s="70">
        <v>337</v>
      </c>
      <c r="E32" s="69" t="str">
        <f t="shared" si="4"/>
        <v>||||||||||</v>
      </c>
      <c r="F32" s="71">
        <v>258</v>
      </c>
      <c r="G32" s="69" t="str">
        <f t="shared" si="1"/>
        <v>||||||||||</v>
      </c>
      <c r="H32" s="70">
        <v>21</v>
      </c>
      <c r="I32" s="69" t="str">
        <f t="shared" si="2"/>
        <v>|||||||||||||||</v>
      </c>
      <c r="J32" s="70">
        <v>62</v>
      </c>
      <c r="K32" s="69" t="str">
        <f t="shared" si="3"/>
        <v>|||||||||||||||</v>
      </c>
      <c r="L32" s="70">
        <v>90</v>
      </c>
    </row>
    <row r="33" spans="2:12" x14ac:dyDescent="0.3">
      <c r="B33" s="42" t="s">
        <v>929</v>
      </c>
      <c r="C33" s="69" t="str">
        <f t="shared" si="0"/>
        <v>||||||||||||||</v>
      </c>
      <c r="D33" s="70">
        <v>294</v>
      </c>
      <c r="E33" s="69" t="str">
        <f t="shared" si="4"/>
        <v>||||||||||</v>
      </c>
      <c r="F33" s="71">
        <v>255</v>
      </c>
      <c r="G33" s="69" t="str">
        <f t="shared" si="1"/>
        <v>||||||||||||||</v>
      </c>
      <c r="H33" s="70">
        <v>28</v>
      </c>
      <c r="I33" s="69" t="str">
        <f t="shared" si="2"/>
        <v>|||||||||||||||||</v>
      </c>
      <c r="J33" s="70">
        <v>68</v>
      </c>
      <c r="K33" s="69" t="str">
        <f t="shared" si="3"/>
        <v>||||||||||||</v>
      </c>
      <c r="L33" s="70">
        <v>74</v>
      </c>
    </row>
    <row r="34" spans="2:12" x14ac:dyDescent="0.3">
      <c r="B34" s="42" t="s">
        <v>930</v>
      </c>
      <c r="C34" s="69" t="str">
        <f t="shared" si="0"/>
        <v>||||||||||||||||</v>
      </c>
      <c r="D34" s="70">
        <v>336</v>
      </c>
      <c r="E34" s="69" t="str">
        <f t="shared" si="4"/>
        <v>||||||||||</v>
      </c>
      <c r="F34" s="71">
        <v>250</v>
      </c>
      <c r="G34" s="69" t="str">
        <f t="shared" si="1"/>
        <v>||||||||||||</v>
      </c>
      <c r="H34" s="70">
        <v>24</v>
      </c>
      <c r="I34" s="69" t="str">
        <f t="shared" si="2"/>
        <v>|||||||||</v>
      </c>
      <c r="J34" s="70">
        <v>39</v>
      </c>
      <c r="K34" s="69" t="str">
        <f t="shared" si="3"/>
        <v>||||||||||||||</v>
      </c>
      <c r="L34" s="70">
        <v>84</v>
      </c>
    </row>
    <row r="35" spans="2:12" x14ac:dyDescent="0.3">
      <c r="B35" s="42" t="s">
        <v>931</v>
      </c>
      <c r="C35" s="69" t="str">
        <f t="shared" si="0"/>
        <v>|||||||||||||||||</v>
      </c>
      <c r="D35" s="70">
        <v>349</v>
      </c>
      <c r="E35" s="69" t="str">
        <f t="shared" si="4"/>
        <v>||||||||||</v>
      </c>
      <c r="F35" s="71">
        <v>246</v>
      </c>
      <c r="G35" s="69" t="str">
        <f t="shared" si="1"/>
        <v>|||||||||||||||</v>
      </c>
      <c r="H35" s="70">
        <v>30</v>
      </c>
      <c r="I35" s="69" t="str">
        <f t="shared" si="2"/>
        <v>||||||||||||||||||</v>
      </c>
      <c r="J35" s="70">
        <v>73</v>
      </c>
      <c r="K35" s="69" t="str">
        <f t="shared" si="3"/>
        <v>||||||||||||||||||</v>
      </c>
      <c r="L35" s="70">
        <v>113</v>
      </c>
    </row>
    <row r="36" spans="2:12" x14ac:dyDescent="0.3">
      <c r="B36" s="42" t="s">
        <v>932</v>
      </c>
      <c r="C36" s="69" t="str">
        <f t="shared" si="0"/>
        <v>||||||||||||||</v>
      </c>
      <c r="D36" s="70">
        <v>280</v>
      </c>
      <c r="E36" s="69" t="str">
        <f t="shared" si="4"/>
        <v>|||||||||</v>
      </c>
      <c r="F36" s="71">
        <v>239</v>
      </c>
      <c r="G36" s="69" t="str">
        <f t="shared" si="1"/>
        <v>|||||||</v>
      </c>
      <c r="H36" s="70">
        <v>15</v>
      </c>
      <c r="I36" s="69" t="str">
        <f t="shared" si="2"/>
        <v>|||||||||</v>
      </c>
      <c r="J36" s="70">
        <v>37</v>
      </c>
      <c r="K36" s="69" t="str">
        <f t="shared" si="3"/>
        <v>||||||||||||||||</v>
      </c>
      <c r="L36" s="70">
        <v>99</v>
      </c>
    </row>
    <row r="37" spans="2:12" x14ac:dyDescent="0.3">
      <c r="B37" s="42" t="s">
        <v>933</v>
      </c>
      <c r="C37" s="69" t="str">
        <f t="shared" si="0"/>
        <v>||||||||||||||||||</v>
      </c>
      <c r="D37" s="70">
        <v>361</v>
      </c>
      <c r="E37" s="69" t="str">
        <f t="shared" si="4"/>
        <v>|||||||||</v>
      </c>
      <c r="F37" s="71">
        <v>224</v>
      </c>
      <c r="G37" s="69" t="str">
        <f t="shared" si="1"/>
        <v>|||||||||</v>
      </c>
      <c r="H37" s="70">
        <v>19</v>
      </c>
      <c r="I37" s="69" t="str">
        <f t="shared" si="2"/>
        <v>||||||||</v>
      </c>
      <c r="J37" s="70">
        <v>35</v>
      </c>
      <c r="K37" s="69" t="str">
        <f t="shared" si="3"/>
        <v>||||||||||||||||</v>
      </c>
      <c r="L37" s="70">
        <v>99</v>
      </c>
    </row>
    <row r="38" spans="2:12" x14ac:dyDescent="0.3">
      <c r="E38" s="69" t="str">
        <f t="shared" si="4"/>
        <v/>
      </c>
    </row>
  </sheetData>
  <mergeCells count="5">
    <mergeCell ref="K6:L6"/>
    <mergeCell ref="C6:D6"/>
    <mergeCell ref="E6:F6"/>
    <mergeCell ref="G6:H6"/>
    <mergeCell ref="I6:J6"/>
  </mergeCells>
  <phoneticPr fontId="5" type="noConversion"/>
  <conditionalFormatting sqref="C7:C37 G7:G37 E7:E38 I7:I37">
    <cfRule type="expression" dxfId="3" priority="1" stopIfTrue="1">
      <formula>D7&gt;PERCENTILE(D$7:D$37,0.75)</formula>
    </cfRule>
    <cfRule type="expression" dxfId="2" priority="2" stopIfTrue="1">
      <formula>D7&lt;PERCENTILE(D$7:D$37,0.25)</formula>
    </cfRule>
  </conditionalFormatting>
  <conditionalFormatting sqref="K7:K37">
    <cfRule type="expression" dxfId="1" priority="3" stopIfTrue="1">
      <formula>L7&lt;PERCENTILE(L$7:L$37,0.25)</formula>
    </cfRule>
    <cfRule type="expression" dxfId="0" priority="4" stopIfTrue="1">
      <formula>L7&gt;PERCENTILE(L$7:L$37,0.75)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29"/>
  <sheetViews>
    <sheetView showGridLines="0" workbookViewId="0">
      <selection activeCell="J24" sqref="J24"/>
    </sheetView>
  </sheetViews>
  <sheetFormatPr defaultRowHeight="15" x14ac:dyDescent="0.3"/>
  <sheetData>
    <row r="1" spans="1:4" ht="21.75" x14ac:dyDescent="0.45">
      <c r="A1" s="43" t="s">
        <v>971</v>
      </c>
    </row>
    <row r="3" spans="1:4" x14ac:dyDescent="0.3">
      <c r="B3" s="5" t="s">
        <v>953</v>
      </c>
    </row>
    <row r="5" spans="1:4" x14ac:dyDescent="0.3">
      <c r="C5" s="80" t="s">
        <v>954</v>
      </c>
      <c r="D5" s="80">
        <v>-12</v>
      </c>
    </row>
    <row r="6" spans="1:4" x14ac:dyDescent="0.3">
      <c r="C6" s="80" t="s">
        <v>955</v>
      </c>
      <c r="D6" s="80">
        <v>8</v>
      </c>
    </row>
    <row r="7" spans="1:4" x14ac:dyDescent="0.3">
      <c r="C7" s="80" t="s">
        <v>956</v>
      </c>
      <c r="D7" s="80">
        <v>23</v>
      </c>
    </row>
    <row r="8" spans="1:4" x14ac:dyDescent="0.3">
      <c r="C8" s="80" t="s">
        <v>957</v>
      </c>
      <c r="D8" s="80">
        <v>-3</v>
      </c>
    </row>
    <row r="10" spans="1:4" x14ac:dyDescent="0.3">
      <c r="B10" s="5" t="s">
        <v>962</v>
      </c>
    </row>
    <row r="11" spans="1:4" x14ac:dyDescent="0.3">
      <c r="B11" t="s">
        <v>963</v>
      </c>
    </row>
    <row r="13" spans="1:4" x14ac:dyDescent="0.3">
      <c r="C13" s="79" t="s">
        <v>954</v>
      </c>
      <c r="D13" s="81">
        <v>9.0370370031383818</v>
      </c>
    </row>
    <row r="14" spans="1:4" x14ac:dyDescent="0.3">
      <c r="C14" s="79" t="s">
        <v>955</v>
      </c>
      <c r="D14" s="81">
        <v>9.3670989803751858</v>
      </c>
    </row>
    <row r="15" spans="1:4" x14ac:dyDescent="0.3">
      <c r="C15" s="79" t="s">
        <v>956</v>
      </c>
      <c r="D15" s="81">
        <v>2.47214261131385</v>
      </c>
    </row>
    <row r="16" spans="1:4" x14ac:dyDescent="0.3">
      <c r="C16" s="79" t="s">
        <v>957</v>
      </c>
      <c r="D16" s="81">
        <v>5.5320633528523917</v>
      </c>
    </row>
    <row r="17" spans="2:4" x14ac:dyDescent="0.3">
      <c r="C17" s="79" t="s">
        <v>958</v>
      </c>
      <c r="D17" s="81">
        <v>2.3198412281503611</v>
      </c>
    </row>
    <row r="18" spans="2:4" x14ac:dyDescent="0.3">
      <c r="C18" s="79" t="s">
        <v>959</v>
      </c>
      <c r="D18" s="81">
        <v>7.4761323418549885</v>
      </c>
    </row>
    <row r="19" spans="2:4" x14ac:dyDescent="0.3">
      <c r="C19" s="79" t="s">
        <v>960</v>
      </c>
      <c r="D19" s="81">
        <v>1.7379851400596547</v>
      </c>
    </row>
    <row r="20" spans="2:4" x14ac:dyDescent="0.3">
      <c r="C20" s="79" t="s">
        <v>961</v>
      </c>
      <c r="D20" s="81">
        <v>3.1360995471194886</v>
      </c>
    </row>
    <row r="22" spans="2:4" x14ac:dyDescent="0.3">
      <c r="B22" s="5" t="s">
        <v>970</v>
      </c>
    </row>
    <row r="23" spans="2:4" x14ac:dyDescent="0.3">
      <c r="B23" t="s">
        <v>969</v>
      </c>
    </row>
    <row r="25" spans="2:4" x14ac:dyDescent="0.3">
      <c r="C25" t="s">
        <v>964</v>
      </c>
    </row>
    <row r="26" spans="2:4" x14ac:dyDescent="0.3">
      <c r="C26" t="s">
        <v>965</v>
      </c>
    </row>
    <row r="27" spans="2:4" x14ac:dyDescent="0.3">
      <c r="C27" t="s">
        <v>966</v>
      </c>
    </row>
    <row r="28" spans="2:4" x14ac:dyDescent="0.3">
      <c r="C28" t="s">
        <v>968</v>
      </c>
    </row>
    <row r="29" spans="2:4" x14ac:dyDescent="0.3">
      <c r="C29" t="s">
        <v>967</v>
      </c>
    </row>
  </sheetData>
  <phoneticPr fontId="5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D7:G61"/>
  <sheetViews>
    <sheetView topLeftCell="B70" workbookViewId="0">
      <selection activeCell="F21" sqref="F21"/>
    </sheetView>
  </sheetViews>
  <sheetFormatPr defaultRowHeight="12.75" x14ac:dyDescent="0.2"/>
  <cols>
    <col min="1" max="16384" width="9.140625" style="135"/>
  </cols>
  <sheetData>
    <row r="7" spans="4:5" x14ac:dyDescent="0.2">
      <c r="E7" s="135" t="s">
        <v>1351</v>
      </c>
    </row>
    <row r="8" spans="4:5" x14ac:dyDescent="0.2">
      <c r="D8" s="135" t="s">
        <v>1335</v>
      </c>
      <c r="E8" s="135">
        <v>7</v>
      </c>
    </row>
    <row r="9" spans="4:5" x14ac:dyDescent="0.2">
      <c r="D9" s="135" t="s">
        <v>1334</v>
      </c>
      <c r="E9" s="135">
        <v>9</v>
      </c>
    </row>
    <row r="10" spans="4:5" x14ac:dyDescent="0.2">
      <c r="D10" s="135" t="s">
        <v>1333</v>
      </c>
      <c r="E10" s="135">
        <v>7</v>
      </c>
    </row>
    <row r="11" spans="4:5" x14ac:dyDescent="0.2">
      <c r="D11" s="135" t="s">
        <v>1350</v>
      </c>
      <c r="E11" s="135">
        <v>9</v>
      </c>
    </row>
    <row r="12" spans="4:5" x14ac:dyDescent="0.2">
      <c r="D12" s="135" t="s">
        <v>1349</v>
      </c>
      <c r="E12" s="135">
        <v>7</v>
      </c>
    </row>
    <row r="13" spans="4:5" x14ac:dyDescent="0.2">
      <c r="D13" s="135" t="s">
        <v>1348</v>
      </c>
      <c r="E13" s="135">
        <v>9</v>
      </c>
    </row>
    <row r="14" spans="4:5" x14ac:dyDescent="0.2">
      <c r="D14" s="135" t="s">
        <v>1347</v>
      </c>
      <c r="E14" s="135">
        <v>7</v>
      </c>
    </row>
    <row r="15" spans="4:5" x14ac:dyDescent="0.2">
      <c r="D15" s="135" t="s">
        <v>1346</v>
      </c>
      <c r="E15" s="135">
        <v>9</v>
      </c>
    </row>
    <row r="16" spans="4:5" x14ac:dyDescent="0.2">
      <c r="D16" s="135" t="s">
        <v>1345</v>
      </c>
      <c r="E16" s="135">
        <v>7</v>
      </c>
    </row>
    <row r="17" spans="4:5" x14ac:dyDescent="0.2">
      <c r="D17" s="135" t="s">
        <v>1344</v>
      </c>
      <c r="E17" s="135">
        <v>9</v>
      </c>
    </row>
    <row r="18" spans="4:5" x14ac:dyDescent="0.2">
      <c r="D18" s="135" t="s">
        <v>1343</v>
      </c>
      <c r="E18" s="135">
        <v>7</v>
      </c>
    </row>
    <row r="19" spans="4:5" x14ac:dyDescent="0.2">
      <c r="D19" s="135" t="s">
        <v>1342</v>
      </c>
      <c r="E19" s="135">
        <v>9</v>
      </c>
    </row>
    <row r="24" spans="4:5" x14ac:dyDescent="0.2">
      <c r="D24" s="135" t="s">
        <v>1341</v>
      </c>
      <c r="E24" s="135">
        <v>25</v>
      </c>
    </row>
    <row r="25" spans="4:5" x14ac:dyDescent="0.2">
      <c r="D25" s="135" t="s">
        <v>1340</v>
      </c>
      <c r="E25" s="135">
        <v>25</v>
      </c>
    </row>
    <row r="26" spans="4:5" x14ac:dyDescent="0.2">
      <c r="D26" s="135" t="s">
        <v>1339</v>
      </c>
      <c r="E26" s="135">
        <v>25</v>
      </c>
    </row>
    <row r="27" spans="4:5" x14ac:dyDescent="0.2">
      <c r="D27" s="135" t="s">
        <v>1338</v>
      </c>
      <c r="E27" s="135">
        <v>25</v>
      </c>
    </row>
    <row r="39" spans="4:7" x14ac:dyDescent="0.2">
      <c r="E39" s="135" t="s">
        <v>1335</v>
      </c>
      <c r="F39" s="135" t="s">
        <v>1334</v>
      </c>
      <c r="G39" s="135" t="s">
        <v>1333</v>
      </c>
    </row>
    <row r="40" spans="4:7" x14ac:dyDescent="0.2">
      <c r="D40" s="135" t="s">
        <v>1341</v>
      </c>
      <c r="E40" s="135">
        <v>25</v>
      </c>
      <c r="F40" s="135">
        <v>25</v>
      </c>
      <c r="G40" s="135">
        <v>25</v>
      </c>
    </row>
    <row r="41" spans="4:7" x14ac:dyDescent="0.2">
      <c r="D41" s="135" t="s">
        <v>1340</v>
      </c>
      <c r="E41" s="135">
        <v>25</v>
      </c>
      <c r="F41" s="135">
        <v>50</v>
      </c>
      <c r="G41" s="135">
        <v>100</v>
      </c>
    </row>
    <row r="42" spans="4:7" x14ac:dyDescent="0.2">
      <c r="D42" s="135" t="s">
        <v>1339</v>
      </c>
      <c r="E42" s="135">
        <v>25</v>
      </c>
      <c r="F42" s="135">
        <v>50</v>
      </c>
      <c r="G42" s="135">
        <v>100</v>
      </c>
    </row>
    <row r="43" spans="4:7" x14ac:dyDescent="0.2">
      <c r="D43" s="135" t="s">
        <v>1338</v>
      </c>
      <c r="E43" s="135">
        <v>25</v>
      </c>
      <c r="F43" s="135">
        <v>25</v>
      </c>
      <c r="G43" s="135">
        <v>25</v>
      </c>
    </row>
    <row r="58" spans="4:6" x14ac:dyDescent="0.2">
      <c r="E58" s="135" t="s">
        <v>1337</v>
      </c>
      <c r="F58" s="135" t="s">
        <v>1336</v>
      </c>
    </row>
    <row r="59" spans="4:6" x14ac:dyDescent="0.2">
      <c r="D59" s="135" t="s">
        <v>1335</v>
      </c>
      <c r="E59" s="135">
        <v>40</v>
      </c>
      <c r="F59" s="135">
        <v>40</v>
      </c>
    </row>
    <row r="60" spans="4:6" x14ac:dyDescent="0.2">
      <c r="D60" s="135" t="s">
        <v>1334</v>
      </c>
      <c r="E60" s="135">
        <v>60</v>
      </c>
      <c r="F60" s="135">
        <v>60</v>
      </c>
    </row>
    <row r="61" spans="4:6" x14ac:dyDescent="0.2">
      <c r="D61" s="135" t="s">
        <v>1333</v>
      </c>
      <c r="E61" s="135">
        <v>80</v>
      </c>
      <c r="F61" s="135">
        <v>80</v>
      </c>
    </row>
  </sheetData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H7"/>
  <sheetViews>
    <sheetView workbookViewId="0">
      <selection activeCell="C7" sqref="C7"/>
    </sheetView>
  </sheetViews>
  <sheetFormatPr defaultRowHeight="12.75" x14ac:dyDescent="0.2"/>
  <cols>
    <col min="1" max="16384" width="9.140625" style="291"/>
  </cols>
  <sheetData>
    <row r="1" spans="2:8" x14ac:dyDescent="0.2">
      <c r="E1" s="291" t="s">
        <v>1355</v>
      </c>
      <c r="F1" s="291" t="s">
        <v>1357</v>
      </c>
      <c r="G1" s="291" t="s">
        <v>1356</v>
      </c>
      <c r="H1" s="291" t="s">
        <v>1353</v>
      </c>
    </row>
    <row r="2" spans="2:8" x14ac:dyDescent="0.2">
      <c r="B2" s="291" t="s">
        <v>1355</v>
      </c>
      <c r="C2" s="291">
        <v>95000</v>
      </c>
      <c r="E2" s="291">
        <f>+C2</f>
        <v>95000</v>
      </c>
    </row>
    <row r="3" spans="2:8" x14ac:dyDescent="0.2">
      <c r="B3" s="291" t="s">
        <v>1331</v>
      </c>
      <c r="C3" s="291">
        <v>42000</v>
      </c>
      <c r="F3" s="291">
        <f>+E2-G3</f>
        <v>53000</v>
      </c>
      <c r="G3" s="291">
        <f>+C3</f>
        <v>42000</v>
      </c>
    </row>
    <row r="4" spans="2:8" x14ac:dyDescent="0.2">
      <c r="B4" s="291" t="s">
        <v>1324</v>
      </c>
      <c r="C4" s="291">
        <v>14000</v>
      </c>
      <c r="F4" s="291">
        <f>+F3-G4</f>
        <v>39000</v>
      </c>
      <c r="G4" s="291">
        <f>+C4</f>
        <v>14000</v>
      </c>
    </row>
    <row r="5" spans="2:8" x14ac:dyDescent="0.2">
      <c r="B5" s="291" t="s">
        <v>1330</v>
      </c>
      <c r="C5" s="291">
        <v>23000</v>
      </c>
      <c r="F5" s="291">
        <f>+F4-G5</f>
        <v>16000</v>
      </c>
      <c r="G5" s="291">
        <f>+C5</f>
        <v>23000</v>
      </c>
    </row>
    <row r="6" spans="2:8" x14ac:dyDescent="0.2">
      <c r="B6" s="291" t="s">
        <v>1354</v>
      </c>
      <c r="C6" s="291">
        <v>7600</v>
      </c>
      <c r="F6" s="291">
        <f>+F5-G6</f>
        <v>8400</v>
      </c>
      <c r="G6" s="291">
        <f>+C6</f>
        <v>7600</v>
      </c>
    </row>
    <row r="7" spans="2:8" x14ac:dyDescent="0.2">
      <c r="B7" s="291" t="s">
        <v>1353</v>
      </c>
      <c r="C7" s="291">
        <f>C2-SUM(C3:C6)</f>
        <v>8400</v>
      </c>
      <c r="H7" s="291">
        <f>+C7</f>
        <v>8400</v>
      </c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2:E5"/>
  <sheetViews>
    <sheetView workbookViewId="0">
      <selection activeCell="C5" sqref="C5"/>
    </sheetView>
  </sheetViews>
  <sheetFormatPr defaultRowHeight="12.75" x14ac:dyDescent="0.2"/>
  <cols>
    <col min="1" max="2" width="9.140625" style="135"/>
    <col min="3" max="3" width="30.7109375" style="135" bestFit="1" customWidth="1"/>
    <col min="4" max="4" width="27.28515625" style="135" bestFit="1" customWidth="1"/>
    <col min="5" max="5" width="28.7109375" style="135" bestFit="1" customWidth="1"/>
    <col min="6" max="16384" width="9.140625" style="135"/>
  </cols>
  <sheetData>
    <row r="2" spans="1:5" x14ac:dyDescent="0.2">
      <c r="B2" s="288" t="s">
        <v>1352</v>
      </c>
    </row>
    <row r="3" spans="1:5" ht="22.5" x14ac:dyDescent="0.2">
      <c r="A3" s="287" t="s">
        <v>1321</v>
      </c>
      <c r="B3" s="287">
        <v>4</v>
      </c>
      <c r="C3" s="286" t="str">
        <f>REPT("n",B3)</f>
        <v>nnnn</v>
      </c>
      <c r="D3" s="285" t="str">
        <f>REPT("J",B3)</f>
        <v>JJJJ</v>
      </c>
      <c r="E3" s="284" t="str">
        <f>REPT("é",B3)</f>
        <v>éééé</v>
      </c>
    </row>
    <row r="4" spans="1:5" ht="22.5" x14ac:dyDescent="0.2">
      <c r="A4" s="287" t="s">
        <v>1318</v>
      </c>
      <c r="B4" s="287">
        <v>8</v>
      </c>
      <c r="C4" s="286" t="str">
        <f>REPT("n",B4)</f>
        <v>nnnnnnnn</v>
      </c>
      <c r="D4" s="285" t="str">
        <f>REPT("J",B4)</f>
        <v>JJJJJJJJ</v>
      </c>
      <c r="E4" s="284" t="str">
        <f>REPT("é",B4)</f>
        <v>éééééééé</v>
      </c>
    </row>
    <row r="5" spans="1:5" ht="22.5" x14ac:dyDescent="0.2">
      <c r="A5" s="287" t="s">
        <v>1315</v>
      </c>
      <c r="B5" s="287">
        <v>10</v>
      </c>
      <c r="C5" s="286" t="str">
        <f>REPT("n",B5)</f>
        <v>nnnnnnnnnn</v>
      </c>
      <c r="D5" s="285" t="str">
        <f>REPT("J",B5)</f>
        <v>JJJJJJJJJJ</v>
      </c>
      <c r="E5" s="284" t="str">
        <f>REPT("é",B5)</f>
        <v>éééééééééé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T49"/>
  <sheetViews>
    <sheetView showGridLines="0" topLeftCell="A16" workbookViewId="0">
      <selection activeCell="F20" sqref="F20"/>
    </sheetView>
  </sheetViews>
  <sheetFormatPr defaultRowHeight="15" x14ac:dyDescent="0.3"/>
  <cols>
    <col min="1" max="1" width="17" style="42" bestFit="1" customWidth="1"/>
    <col min="2" max="2" width="5.28515625" style="42" customWidth="1"/>
    <col min="3" max="3" width="3.85546875" style="42" bestFit="1" customWidth="1"/>
    <col min="4" max="4" width="4.140625" style="42" customWidth="1"/>
    <col min="5" max="5" width="12.28515625" style="67" bestFit="1" customWidth="1"/>
    <col min="6" max="6" width="21.85546875" style="42" bestFit="1" customWidth="1"/>
    <col min="7" max="7" width="9.7109375" style="42" customWidth="1"/>
    <col min="8" max="8" width="17" style="42" bestFit="1" customWidth="1"/>
    <col min="9" max="9" width="4.140625" style="42" bestFit="1" customWidth="1"/>
    <col min="10" max="10" width="3.85546875" style="42" bestFit="1" customWidth="1"/>
    <col min="11" max="12" width="4.140625" style="42" customWidth="1"/>
    <col min="13" max="13" width="10.42578125" style="42" bestFit="1" customWidth="1"/>
    <col min="14" max="14" width="5.28515625" style="42" bestFit="1" customWidth="1"/>
    <col min="15" max="15" width="9.7109375" style="67" customWidth="1"/>
    <col min="16" max="16384" width="9.140625" style="42"/>
  </cols>
  <sheetData>
    <row r="1" spans="1:20" ht="21.75" x14ac:dyDescent="0.45">
      <c r="A1" s="78" t="s">
        <v>252</v>
      </c>
      <c r="B1"/>
      <c r="C1"/>
      <c r="D1"/>
      <c r="E1"/>
      <c r="F1"/>
      <c r="G1"/>
      <c r="H1" s="78"/>
      <c r="I1"/>
      <c r="J1"/>
      <c r="K1"/>
      <c r="L1"/>
      <c r="M1"/>
      <c r="N1"/>
      <c r="O1"/>
    </row>
    <row r="2" spans="1:20" ht="12.75" customHeight="1" x14ac:dyDescent="0.45">
      <c r="A2" s="74" t="s">
        <v>256</v>
      </c>
      <c r="B2"/>
      <c r="C2"/>
      <c r="D2"/>
      <c r="E2"/>
      <c r="F2"/>
      <c r="G2"/>
      <c r="H2" s="78"/>
      <c r="I2"/>
      <c r="J2"/>
      <c r="K2"/>
      <c r="L2"/>
      <c r="M2"/>
      <c r="N2"/>
      <c r="O2"/>
    </row>
    <row r="3" spans="1:20" ht="12.75" customHeight="1" x14ac:dyDescent="0.45">
      <c r="A3" s="74" t="s">
        <v>255</v>
      </c>
      <c r="B3"/>
      <c r="C3"/>
      <c r="D3"/>
      <c r="E3"/>
      <c r="F3"/>
      <c r="G3"/>
      <c r="H3" s="78"/>
      <c r="I3"/>
      <c r="J3"/>
      <c r="K3"/>
      <c r="L3"/>
      <c r="M3"/>
      <c r="N3"/>
      <c r="O3"/>
    </row>
    <row r="4" spans="1:20" ht="12.75" customHeight="1" x14ac:dyDescent="0.3">
      <c r="A4" s="5"/>
      <c r="B4"/>
      <c r="C4"/>
      <c r="D4"/>
      <c r="E4"/>
      <c r="F4"/>
      <c r="G4"/>
      <c r="H4" s="5"/>
      <c r="I4"/>
      <c r="J4"/>
      <c r="K4"/>
      <c r="L4"/>
      <c r="M4"/>
      <c r="N4"/>
      <c r="O4"/>
    </row>
    <row r="5" spans="1:20" ht="12.75" customHeight="1" x14ac:dyDescent="0.3">
      <c r="A5" s="5"/>
      <c r="B5"/>
      <c r="C5"/>
      <c r="D5"/>
      <c r="E5"/>
      <c r="F5"/>
      <c r="G5"/>
      <c r="H5" s="5"/>
      <c r="I5"/>
      <c r="J5"/>
      <c r="K5"/>
      <c r="L5"/>
      <c r="M5"/>
      <c r="N5"/>
      <c r="O5"/>
    </row>
    <row r="6" spans="1:20" ht="19.5" x14ac:dyDescent="0.4">
      <c r="A6" s="62" t="s">
        <v>891</v>
      </c>
      <c r="B6" s="8"/>
      <c r="C6" s="8"/>
      <c r="D6" s="8"/>
      <c r="E6" s="42"/>
      <c r="F6" s="8"/>
      <c r="G6" s="8"/>
      <c r="H6" s="5"/>
      <c r="I6"/>
      <c r="J6"/>
      <c r="K6"/>
      <c r="L6"/>
      <c r="M6"/>
      <c r="N6"/>
      <c r="O6"/>
    </row>
    <row r="7" spans="1:20" ht="19.5" x14ac:dyDescent="0.4">
      <c r="A7" s="8"/>
      <c r="B7" s="8"/>
      <c r="C7" s="8"/>
      <c r="D7" s="8"/>
      <c r="E7" s="42"/>
      <c r="F7" s="8"/>
      <c r="G7" s="8"/>
      <c r="H7" s="5"/>
      <c r="I7"/>
      <c r="J7"/>
      <c r="K7"/>
      <c r="L7"/>
      <c r="M7"/>
      <c r="N7"/>
      <c r="O7"/>
    </row>
    <row r="8" spans="1:20" ht="19.5" x14ac:dyDescent="0.4">
      <c r="A8" s="62" t="s">
        <v>892</v>
      </c>
      <c r="B8" s="8"/>
      <c r="C8" s="62" t="str">
        <f>REPT("X",10)</f>
        <v>XXXXXXXXXX</v>
      </c>
      <c r="D8" s="8"/>
      <c r="E8" s="42"/>
      <c r="F8" s="8"/>
      <c r="G8" s="8"/>
      <c r="H8" s="5"/>
      <c r="I8"/>
      <c r="J8"/>
      <c r="K8"/>
      <c r="L8"/>
      <c r="M8"/>
      <c r="N8"/>
      <c r="O8"/>
    </row>
    <row r="9" spans="1:20" ht="19.5" x14ac:dyDescent="0.4">
      <c r="A9" s="8"/>
      <c r="B9" s="8"/>
      <c r="C9" s="8"/>
      <c r="D9" s="8"/>
      <c r="E9" s="42"/>
      <c r="F9" s="8"/>
      <c r="G9" s="8"/>
      <c r="H9" s="5"/>
      <c r="I9"/>
      <c r="J9"/>
      <c r="K9"/>
      <c r="L9"/>
      <c r="M9"/>
      <c r="N9"/>
      <c r="O9"/>
    </row>
    <row r="10" spans="1:20" ht="19.5" x14ac:dyDescent="0.4">
      <c r="A10" s="62" t="s">
        <v>893</v>
      </c>
      <c r="B10" s="8"/>
      <c r="C10" s="62" t="str">
        <f>REPT("Oh, No! ",3)</f>
        <v xml:space="preserve">Oh, No! Oh, No! Oh, No! </v>
      </c>
      <c r="D10" s="8"/>
      <c r="E10" s="42"/>
      <c r="F10" s="8"/>
      <c r="G10" s="8"/>
      <c r="H10" s="5"/>
      <c r="I10"/>
      <c r="J10"/>
      <c r="K10"/>
      <c r="L10"/>
      <c r="M10"/>
      <c r="N10"/>
      <c r="O10"/>
    </row>
    <row r="11" spans="1:20" ht="19.5" x14ac:dyDescent="0.4">
      <c r="A11" s="8"/>
      <c r="B11" s="8"/>
      <c r="C11" s="8"/>
      <c r="D11" s="8"/>
      <c r="E11" s="42"/>
      <c r="F11" s="8"/>
      <c r="G11" s="8"/>
      <c r="H11" s="5"/>
      <c r="I11"/>
      <c r="J11"/>
      <c r="K11"/>
      <c r="L11"/>
      <c r="M11"/>
      <c r="N11"/>
      <c r="O11"/>
    </row>
    <row r="12" spans="1:20" ht="19.5" x14ac:dyDescent="0.4">
      <c r="A12" s="62" t="s">
        <v>894</v>
      </c>
      <c r="B12" s="8"/>
      <c r="C12" s="62" t="str">
        <f>REPT("|",30)</f>
        <v>||||||||||||||||||||||||||||||</v>
      </c>
      <c r="D12" s="8"/>
      <c r="E12" s="42"/>
      <c r="F12" s="8"/>
      <c r="G12" s="8"/>
      <c r="H12" s="5"/>
      <c r="I12"/>
      <c r="J12"/>
      <c r="K12"/>
      <c r="L12"/>
      <c r="M12"/>
      <c r="N12"/>
      <c r="O12"/>
    </row>
    <row r="13" spans="1:20" ht="19.5" x14ac:dyDescent="0.4">
      <c r="A13" s="8"/>
      <c r="B13" s="8"/>
      <c r="C13" s="63" t="str">
        <f>REPT("|",30)</f>
        <v>||||||||||||||||||||||||||||||</v>
      </c>
      <c r="D13" s="8" t="s">
        <v>895</v>
      </c>
      <c r="E13" s="42"/>
      <c r="F13" s="8"/>
      <c r="G13" s="8"/>
      <c r="H13" s="5"/>
      <c r="I13"/>
      <c r="J13"/>
      <c r="K13"/>
      <c r="L13"/>
      <c r="M13"/>
      <c r="N13"/>
      <c r="O13"/>
    </row>
    <row r="14" spans="1:20" ht="19.5" x14ac:dyDescent="0.4">
      <c r="A14" s="8"/>
      <c r="B14" s="8"/>
      <c r="C14" s="8"/>
      <c r="D14" s="8"/>
      <c r="E14" s="42"/>
      <c r="F14" s="8"/>
      <c r="G14" s="8"/>
      <c r="H14" s="5"/>
      <c r="I14"/>
      <c r="J14"/>
      <c r="K14"/>
      <c r="L14"/>
      <c r="M14"/>
      <c r="N14"/>
      <c r="O14"/>
    </row>
    <row r="15" spans="1:20" x14ac:dyDescent="0.3">
      <c r="A15" s="5"/>
      <c r="B15"/>
      <c r="C15"/>
      <c r="D15"/>
      <c r="E15"/>
      <c r="F15"/>
      <c r="G15"/>
      <c r="H15" s="5"/>
      <c r="I15"/>
      <c r="J15"/>
      <c r="K15"/>
      <c r="L15"/>
      <c r="M15"/>
      <c r="N15"/>
      <c r="O15"/>
    </row>
    <row r="16" spans="1:20" ht="19.5" x14ac:dyDescent="0.4">
      <c r="A16" s="18" t="s">
        <v>253</v>
      </c>
      <c r="H16" s="18" t="s">
        <v>254</v>
      </c>
      <c r="P16" s="18" t="s">
        <v>257</v>
      </c>
      <c r="T16" s="67"/>
    </row>
    <row r="17" spans="1:20" x14ac:dyDescent="0.3">
      <c r="T17" s="67"/>
    </row>
    <row r="18" spans="1:20" x14ac:dyDescent="0.3">
      <c r="A18" s="5" t="s">
        <v>809</v>
      </c>
      <c r="B18" s="5" t="s">
        <v>899</v>
      </c>
      <c r="C18" s="5" t="s">
        <v>900</v>
      </c>
      <c r="D18" s="5" t="s">
        <v>901</v>
      </c>
      <c r="E18" s="5" t="s">
        <v>258</v>
      </c>
      <c r="F18" s="5" t="s">
        <v>259</v>
      </c>
      <c r="G18" s="5"/>
      <c r="H18" s="5" t="s">
        <v>809</v>
      </c>
      <c r="I18" s="5" t="s">
        <v>899</v>
      </c>
      <c r="J18" s="5" t="s">
        <v>900</v>
      </c>
      <c r="K18" s="5" t="s">
        <v>901</v>
      </c>
      <c r="L18" s="5" t="s">
        <v>902</v>
      </c>
      <c r="M18" s="5"/>
      <c r="N18" s="5"/>
      <c r="P18" s="5" t="s">
        <v>809</v>
      </c>
      <c r="Q18" s="5" t="s">
        <v>899</v>
      </c>
      <c r="R18" s="5" t="s">
        <v>900</v>
      </c>
      <c r="S18" s="5" t="s">
        <v>901</v>
      </c>
      <c r="T18" s="67"/>
    </row>
    <row r="19" spans="1:20" x14ac:dyDescent="0.3">
      <c r="A19" s="42" t="s">
        <v>903</v>
      </c>
      <c r="B19" s="42">
        <v>12</v>
      </c>
      <c r="C19" s="42">
        <v>28</v>
      </c>
      <c r="D19" s="42">
        <v>17</v>
      </c>
      <c r="E19" s="66" t="str">
        <f>REPT("|",$B19)&amp;" "&amp;$B19</f>
        <v>|||||||||||| 12</v>
      </c>
      <c r="F19" s="66" t="str">
        <f>REPT("|",$B19*2)&amp;" "&amp;$B19</f>
        <v>|||||||||||||||||||||||| 12</v>
      </c>
      <c r="G19" s="66"/>
      <c r="H19" s="42" t="s">
        <v>903</v>
      </c>
      <c r="I19" s="42">
        <v>12</v>
      </c>
      <c r="J19" s="42">
        <v>28</v>
      </c>
      <c r="K19" s="42">
        <v>17</v>
      </c>
      <c r="L19" s="64">
        <f>J19-K19</f>
        <v>11</v>
      </c>
      <c r="M19" s="65" t="str">
        <f>IF(L19&lt;0,REPT("|",-L19/2),"")</f>
        <v/>
      </c>
      <c r="N19" s="66" t="str">
        <f t="shared" ref="N19:N41" si="0">IF(L19&gt;0,REPT("|",L19/2),"")</f>
        <v>|||||</v>
      </c>
      <c r="O19" s="66"/>
      <c r="P19" s="42" t="s">
        <v>903</v>
      </c>
      <c r="Q19" s="42">
        <v>12</v>
      </c>
      <c r="R19" s="42">
        <v>28</v>
      </c>
      <c r="S19" s="42">
        <v>17</v>
      </c>
      <c r="T19" s="66" t="str">
        <f>REPT(" ",Q19/2)&amp;"o"</f>
        <v xml:space="preserve">      o</v>
      </c>
    </row>
    <row r="20" spans="1:20" x14ac:dyDescent="0.3">
      <c r="A20" s="42" t="s">
        <v>904</v>
      </c>
      <c r="B20" s="42">
        <v>32</v>
      </c>
      <c r="C20" s="42">
        <v>57</v>
      </c>
      <c r="D20" s="42">
        <v>26</v>
      </c>
      <c r="E20" s="66" t="str">
        <f t="shared" ref="E20:E41" si="1">REPT("|",B20)&amp;" "&amp;B20</f>
        <v>|||||||||||||||||||||||||||||||| 32</v>
      </c>
      <c r="F20" s="66" t="str">
        <f t="shared" ref="F20:F41" si="2">REPT("|",$B20*2)&amp;" "&amp;$B20</f>
        <v>|||||||||||||||||||||||||||||||||||||||||||||||||||||||||||||||| 32</v>
      </c>
      <c r="G20" s="66"/>
      <c r="H20" s="42" t="s">
        <v>904</v>
      </c>
      <c r="I20" s="42">
        <v>32</v>
      </c>
      <c r="J20" s="42">
        <v>57</v>
      </c>
      <c r="K20" s="42">
        <v>26</v>
      </c>
      <c r="L20" s="64">
        <f t="shared" ref="L20:L41" si="3">J20-K20</f>
        <v>31</v>
      </c>
      <c r="M20" s="65" t="str">
        <f t="shared" ref="M20:M41" si="4">IF(L20&lt;0,REPT("|",-L20/2),"")</f>
        <v/>
      </c>
      <c r="N20" s="66" t="str">
        <f t="shared" si="0"/>
        <v>|||||||||||||||</v>
      </c>
      <c r="O20" s="66"/>
      <c r="P20" s="42" t="s">
        <v>904</v>
      </c>
      <c r="Q20" s="42">
        <v>32</v>
      </c>
      <c r="R20" s="42">
        <v>57</v>
      </c>
      <c r="S20" s="42">
        <v>26</v>
      </c>
      <c r="T20" s="66" t="str">
        <f t="shared" ref="T20:T41" si="5">REPT(" ",Q20/2)&amp;"o"</f>
        <v xml:space="preserve">                o</v>
      </c>
    </row>
    <row r="21" spans="1:20" x14ac:dyDescent="0.3">
      <c r="A21" s="42" t="s">
        <v>905</v>
      </c>
      <c r="B21" s="42">
        <v>9</v>
      </c>
      <c r="C21" s="42">
        <v>43</v>
      </c>
      <c r="D21" s="42">
        <v>21</v>
      </c>
      <c r="E21" s="66" t="str">
        <f t="shared" si="1"/>
        <v>||||||||| 9</v>
      </c>
      <c r="F21" s="66" t="str">
        <f t="shared" si="2"/>
        <v>|||||||||||||||||| 9</v>
      </c>
      <c r="G21" s="66"/>
      <c r="H21" s="42" t="s">
        <v>905</v>
      </c>
      <c r="I21" s="42">
        <v>9</v>
      </c>
      <c r="J21" s="42">
        <v>43</v>
      </c>
      <c r="K21" s="42">
        <v>21</v>
      </c>
      <c r="L21" s="64">
        <f t="shared" si="3"/>
        <v>22</v>
      </c>
      <c r="M21" s="65" t="str">
        <f t="shared" si="4"/>
        <v/>
      </c>
      <c r="N21" s="66" t="str">
        <f t="shared" si="0"/>
        <v>|||||||||||</v>
      </c>
      <c r="O21" s="66"/>
      <c r="P21" s="42" t="s">
        <v>905</v>
      </c>
      <c r="Q21" s="42">
        <v>9</v>
      </c>
      <c r="R21" s="42">
        <v>43</v>
      </c>
      <c r="S21" s="42">
        <v>21</v>
      </c>
      <c r="T21" s="66" t="str">
        <f t="shared" si="5"/>
        <v xml:space="preserve">    o</v>
      </c>
    </row>
    <row r="22" spans="1:20" x14ac:dyDescent="0.3">
      <c r="A22" s="42" t="s">
        <v>906</v>
      </c>
      <c r="B22" s="42">
        <v>26</v>
      </c>
      <c r="C22" s="42">
        <v>50</v>
      </c>
      <c r="D22" s="42">
        <v>64</v>
      </c>
      <c r="E22" s="66" t="str">
        <f t="shared" si="1"/>
        <v>|||||||||||||||||||||||||| 26</v>
      </c>
      <c r="F22" s="66" t="str">
        <f t="shared" si="2"/>
        <v>|||||||||||||||||||||||||||||||||||||||||||||||||||| 26</v>
      </c>
      <c r="G22" s="66"/>
      <c r="H22" s="42" t="s">
        <v>906</v>
      </c>
      <c r="I22" s="42">
        <v>26</v>
      </c>
      <c r="J22" s="42">
        <v>50</v>
      </c>
      <c r="K22" s="42">
        <v>64</v>
      </c>
      <c r="L22" s="64">
        <f t="shared" si="3"/>
        <v>-14</v>
      </c>
      <c r="M22" s="65" t="str">
        <f t="shared" si="4"/>
        <v>|||||||</v>
      </c>
      <c r="N22" s="66" t="str">
        <f t="shared" si="0"/>
        <v/>
      </c>
      <c r="O22" s="66"/>
      <c r="P22" s="42" t="s">
        <v>906</v>
      </c>
      <c r="Q22" s="42">
        <v>26</v>
      </c>
      <c r="R22" s="42">
        <v>50</v>
      </c>
      <c r="S22" s="42">
        <v>64</v>
      </c>
      <c r="T22" s="66" t="str">
        <f t="shared" si="5"/>
        <v xml:space="preserve">             o</v>
      </c>
    </row>
    <row r="23" spans="1:20" x14ac:dyDescent="0.3">
      <c r="A23" s="42" t="s">
        <v>907</v>
      </c>
      <c r="B23" s="42">
        <v>29</v>
      </c>
      <c r="C23" s="42">
        <v>72</v>
      </c>
      <c r="D23" s="42">
        <v>74</v>
      </c>
      <c r="E23" s="66" t="str">
        <f t="shared" si="1"/>
        <v>||||||||||||||||||||||||||||| 29</v>
      </c>
      <c r="F23" s="66" t="str">
        <f t="shared" si="2"/>
        <v>|||||||||||||||||||||||||||||||||||||||||||||||||||||||||| 29</v>
      </c>
      <c r="G23" s="66"/>
      <c r="H23" s="42" t="s">
        <v>907</v>
      </c>
      <c r="I23" s="42">
        <v>29</v>
      </c>
      <c r="J23" s="42">
        <v>72</v>
      </c>
      <c r="K23" s="42">
        <v>74</v>
      </c>
      <c r="L23" s="64">
        <f t="shared" si="3"/>
        <v>-2</v>
      </c>
      <c r="M23" s="65" t="str">
        <f t="shared" si="4"/>
        <v>|</v>
      </c>
      <c r="N23" s="66" t="str">
        <f t="shared" si="0"/>
        <v/>
      </c>
      <c r="O23" s="66"/>
      <c r="P23" s="42" t="s">
        <v>907</v>
      </c>
      <c r="Q23" s="42">
        <v>29</v>
      </c>
      <c r="R23" s="42">
        <v>72</v>
      </c>
      <c r="S23" s="42">
        <v>74</v>
      </c>
      <c r="T23" s="66" t="str">
        <f t="shared" si="5"/>
        <v xml:space="preserve">              o</v>
      </c>
    </row>
    <row r="24" spans="1:20" x14ac:dyDescent="0.3">
      <c r="A24" s="42" t="s">
        <v>908</v>
      </c>
      <c r="B24" s="42">
        <v>25</v>
      </c>
      <c r="C24" s="42">
        <v>27</v>
      </c>
      <c r="D24" s="42">
        <v>60</v>
      </c>
      <c r="E24" s="66" t="str">
        <f t="shared" si="1"/>
        <v>||||||||||||||||||||||||| 25</v>
      </c>
      <c r="F24" s="66" t="str">
        <f t="shared" si="2"/>
        <v>|||||||||||||||||||||||||||||||||||||||||||||||||| 25</v>
      </c>
      <c r="G24" s="66"/>
      <c r="H24" s="42" t="s">
        <v>908</v>
      </c>
      <c r="I24" s="42">
        <v>25</v>
      </c>
      <c r="J24" s="42">
        <v>27</v>
      </c>
      <c r="K24" s="42">
        <v>60</v>
      </c>
      <c r="L24" s="64">
        <f t="shared" si="3"/>
        <v>-33</v>
      </c>
      <c r="M24" s="65" t="str">
        <f t="shared" si="4"/>
        <v>||||||||||||||||</v>
      </c>
      <c r="N24" s="66" t="str">
        <f t="shared" si="0"/>
        <v/>
      </c>
      <c r="O24" s="66"/>
      <c r="P24" s="42" t="s">
        <v>908</v>
      </c>
      <c r="Q24" s="42">
        <v>25</v>
      </c>
      <c r="R24" s="42">
        <v>27</v>
      </c>
      <c r="S24" s="42">
        <v>60</v>
      </c>
      <c r="T24" s="66" t="str">
        <f t="shared" si="5"/>
        <v xml:space="preserve">            o</v>
      </c>
    </row>
    <row r="25" spans="1:20" x14ac:dyDescent="0.3">
      <c r="A25" s="42" t="s">
        <v>909</v>
      </c>
      <c r="B25" s="42">
        <v>16</v>
      </c>
      <c r="C25" s="42">
        <v>34</v>
      </c>
      <c r="D25" s="42">
        <v>57</v>
      </c>
      <c r="E25" s="66" t="str">
        <f t="shared" si="1"/>
        <v>|||||||||||||||| 16</v>
      </c>
      <c r="F25" s="66" t="str">
        <f t="shared" si="2"/>
        <v>|||||||||||||||||||||||||||||||| 16</v>
      </c>
      <c r="G25" s="66"/>
      <c r="H25" s="42" t="s">
        <v>909</v>
      </c>
      <c r="I25" s="42">
        <v>16</v>
      </c>
      <c r="J25" s="42">
        <v>34</v>
      </c>
      <c r="K25" s="42">
        <v>57</v>
      </c>
      <c r="L25" s="64">
        <f t="shared" si="3"/>
        <v>-23</v>
      </c>
      <c r="M25" s="65" t="str">
        <f t="shared" si="4"/>
        <v>|||||||||||</v>
      </c>
      <c r="N25" s="66" t="str">
        <f t="shared" si="0"/>
        <v/>
      </c>
      <c r="O25" s="66"/>
      <c r="P25" s="42" t="s">
        <v>909</v>
      </c>
      <c r="Q25" s="42">
        <v>16</v>
      </c>
      <c r="R25" s="42">
        <v>34</v>
      </c>
      <c r="S25" s="42">
        <v>57</v>
      </c>
      <c r="T25" s="66" t="str">
        <f t="shared" si="5"/>
        <v xml:space="preserve">        o</v>
      </c>
    </row>
    <row r="26" spans="1:20" x14ac:dyDescent="0.3">
      <c r="A26" s="42" t="s">
        <v>910</v>
      </c>
      <c r="B26" s="42">
        <v>24</v>
      </c>
      <c r="C26" s="42">
        <v>39</v>
      </c>
      <c r="D26" s="42">
        <v>56</v>
      </c>
      <c r="E26" s="66" t="str">
        <f t="shared" si="1"/>
        <v>|||||||||||||||||||||||| 24</v>
      </c>
      <c r="F26" s="66" t="str">
        <f t="shared" si="2"/>
        <v>|||||||||||||||||||||||||||||||||||||||||||||||| 24</v>
      </c>
      <c r="G26" s="66"/>
      <c r="H26" s="42" t="s">
        <v>910</v>
      </c>
      <c r="I26" s="42">
        <v>24</v>
      </c>
      <c r="J26" s="42">
        <v>39</v>
      </c>
      <c r="K26" s="42">
        <v>56</v>
      </c>
      <c r="L26" s="64">
        <f t="shared" si="3"/>
        <v>-17</v>
      </c>
      <c r="M26" s="65" t="str">
        <f t="shared" si="4"/>
        <v>||||||||</v>
      </c>
      <c r="N26" s="66" t="str">
        <f t="shared" si="0"/>
        <v/>
      </c>
      <c r="O26" s="66"/>
      <c r="P26" s="42" t="s">
        <v>910</v>
      </c>
      <c r="Q26" s="42">
        <v>24</v>
      </c>
      <c r="R26" s="42">
        <v>39</v>
      </c>
      <c r="S26" s="42">
        <v>56</v>
      </c>
      <c r="T26" s="66" t="str">
        <f t="shared" si="5"/>
        <v xml:space="preserve">            o</v>
      </c>
    </row>
    <row r="27" spans="1:20" x14ac:dyDescent="0.3">
      <c r="A27" s="42" t="s">
        <v>911</v>
      </c>
      <c r="B27" s="42">
        <v>14</v>
      </c>
      <c r="C27" s="42">
        <v>63</v>
      </c>
      <c r="D27" s="42">
        <v>53</v>
      </c>
      <c r="E27" s="66" t="str">
        <f t="shared" si="1"/>
        <v>|||||||||||||| 14</v>
      </c>
      <c r="F27" s="66" t="str">
        <f t="shared" si="2"/>
        <v>|||||||||||||||||||||||||||| 14</v>
      </c>
      <c r="G27" s="66"/>
      <c r="H27" s="42" t="s">
        <v>911</v>
      </c>
      <c r="I27" s="42">
        <v>14</v>
      </c>
      <c r="J27" s="42">
        <v>63</v>
      </c>
      <c r="K27" s="42">
        <v>53</v>
      </c>
      <c r="L27" s="64">
        <f t="shared" si="3"/>
        <v>10</v>
      </c>
      <c r="M27" s="65" t="str">
        <f t="shared" si="4"/>
        <v/>
      </c>
      <c r="N27" s="66" t="str">
        <f t="shared" si="0"/>
        <v>|||||</v>
      </c>
      <c r="O27" s="66"/>
      <c r="P27" s="42" t="s">
        <v>911</v>
      </c>
      <c r="Q27" s="42">
        <v>14</v>
      </c>
      <c r="R27" s="42">
        <v>63</v>
      </c>
      <c r="S27" s="42">
        <v>53</v>
      </c>
      <c r="T27" s="66" t="str">
        <f t="shared" si="5"/>
        <v xml:space="preserve">       o</v>
      </c>
    </row>
    <row r="28" spans="1:20" x14ac:dyDescent="0.3">
      <c r="A28" s="42" t="s">
        <v>912</v>
      </c>
      <c r="B28" s="42">
        <v>12</v>
      </c>
      <c r="C28" s="42">
        <v>14</v>
      </c>
      <c r="D28" s="42">
        <v>40</v>
      </c>
      <c r="E28" s="66" t="str">
        <f t="shared" si="1"/>
        <v>|||||||||||| 12</v>
      </c>
      <c r="F28" s="66" t="str">
        <f t="shared" si="2"/>
        <v>|||||||||||||||||||||||| 12</v>
      </c>
      <c r="G28" s="66"/>
      <c r="H28" s="42" t="s">
        <v>912</v>
      </c>
      <c r="I28" s="42">
        <v>12</v>
      </c>
      <c r="J28" s="42">
        <v>14</v>
      </c>
      <c r="K28" s="42">
        <v>40</v>
      </c>
      <c r="L28" s="64">
        <f t="shared" si="3"/>
        <v>-26</v>
      </c>
      <c r="M28" s="65" t="str">
        <f t="shared" si="4"/>
        <v>|||||||||||||</v>
      </c>
      <c r="N28" s="66" t="str">
        <f t="shared" si="0"/>
        <v/>
      </c>
      <c r="O28" s="66"/>
      <c r="P28" s="42" t="s">
        <v>912</v>
      </c>
      <c r="Q28" s="42">
        <v>12</v>
      </c>
      <c r="R28" s="42">
        <v>14</v>
      </c>
      <c r="S28" s="42">
        <v>40</v>
      </c>
      <c r="T28" s="66" t="str">
        <f t="shared" si="5"/>
        <v xml:space="preserve">      o</v>
      </c>
    </row>
    <row r="29" spans="1:20" x14ac:dyDescent="0.3">
      <c r="A29" s="42" t="s">
        <v>913</v>
      </c>
      <c r="B29" s="42">
        <v>18</v>
      </c>
      <c r="C29" s="42">
        <v>21</v>
      </c>
      <c r="D29" s="42">
        <v>62</v>
      </c>
      <c r="E29" s="66" t="str">
        <f t="shared" si="1"/>
        <v>|||||||||||||||||| 18</v>
      </c>
      <c r="F29" s="66" t="str">
        <f t="shared" si="2"/>
        <v>|||||||||||||||||||||||||||||||||||| 18</v>
      </c>
      <c r="G29" s="66"/>
      <c r="H29" s="42" t="s">
        <v>913</v>
      </c>
      <c r="I29" s="42">
        <v>18</v>
      </c>
      <c r="J29" s="42">
        <v>21</v>
      </c>
      <c r="K29" s="42">
        <v>62</v>
      </c>
      <c r="L29" s="64">
        <f t="shared" si="3"/>
        <v>-41</v>
      </c>
      <c r="M29" s="65" t="str">
        <f t="shared" si="4"/>
        <v>||||||||||||||||||||</v>
      </c>
      <c r="N29" s="66" t="str">
        <f t="shared" si="0"/>
        <v/>
      </c>
      <c r="O29" s="66"/>
      <c r="P29" s="42" t="s">
        <v>913</v>
      </c>
      <c r="Q29" s="42">
        <v>18</v>
      </c>
      <c r="R29" s="42">
        <v>21</v>
      </c>
      <c r="S29" s="42">
        <v>62</v>
      </c>
      <c r="T29" s="66" t="str">
        <f t="shared" si="5"/>
        <v xml:space="preserve">         o</v>
      </c>
    </row>
    <row r="30" spans="1:20" x14ac:dyDescent="0.3">
      <c r="A30" s="42" t="s">
        <v>914</v>
      </c>
      <c r="B30" s="42">
        <v>32</v>
      </c>
      <c r="C30" s="42">
        <v>61</v>
      </c>
      <c r="D30" s="42">
        <v>99</v>
      </c>
      <c r="E30" s="66" t="str">
        <f t="shared" si="1"/>
        <v>|||||||||||||||||||||||||||||||| 32</v>
      </c>
      <c r="F30" s="66" t="str">
        <f t="shared" si="2"/>
        <v>|||||||||||||||||||||||||||||||||||||||||||||||||||||||||||||||| 32</v>
      </c>
      <c r="G30" s="66"/>
      <c r="H30" s="42" t="s">
        <v>914</v>
      </c>
      <c r="I30" s="42">
        <v>32</v>
      </c>
      <c r="J30" s="42">
        <v>61</v>
      </c>
      <c r="K30" s="42">
        <v>99</v>
      </c>
      <c r="L30" s="64">
        <f t="shared" si="3"/>
        <v>-38</v>
      </c>
      <c r="M30" s="65" t="str">
        <f t="shared" si="4"/>
        <v>|||||||||||||||||||</v>
      </c>
      <c r="N30" s="66" t="str">
        <f t="shared" si="0"/>
        <v/>
      </c>
      <c r="O30" s="66"/>
      <c r="P30" s="42" t="s">
        <v>914</v>
      </c>
      <c r="Q30" s="42">
        <v>32</v>
      </c>
      <c r="R30" s="42">
        <v>61</v>
      </c>
      <c r="S30" s="42">
        <v>99</v>
      </c>
      <c r="T30" s="66" t="str">
        <f t="shared" si="5"/>
        <v xml:space="preserve">                o</v>
      </c>
    </row>
    <row r="31" spans="1:20" x14ac:dyDescent="0.3">
      <c r="A31" s="42" t="s">
        <v>915</v>
      </c>
      <c r="B31" s="42">
        <v>11</v>
      </c>
      <c r="C31" s="42">
        <v>60</v>
      </c>
      <c r="D31" s="42">
        <v>76</v>
      </c>
      <c r="E31" s="66" t="str">
        <f t="shared" si="1"/>
        <v>||||||||||| 11</v>
      </c>
      <c r="F31" s="66" t="str">
        <f t="shared" si="2"/>
        <v>|||||||||||||||||||||| 11</v>
      </c>
      <c r="G31" s="66"/>
      <c r="H31" s="42" t="s">
        <v>915</v>
      </c>
      <c r="I31" s="42">
        <v>11</v>
      </c>
      <c r="J31" s="42">
        <v>60</v>
      </c>
      <c r="K31" s="42">
        <v>76</v>
      </c>
      <c r="L31" s="64">
        <f t="shared" si="3"/>
        <v>-16</v>
      </c>
      <c r="M31" s="65" t="str">
        <f t="shared" si="4"/>
        <v>||||||||</v>
      </c>
      <c r="N31" s="66" t="str">
        <f t="shared" si="0"/>
        <v/>
      </c>
      <c r="O31" s="66"/>
      <c r="P31" s="42" t="s">
        <v>915</v>
      </c>
      <c r="Q31" s="42">
        <v>11</v>
      </c>
      <c r="R31" s="42">
        <v>60</v>
      </c>
      <c r="S31" s="42">
        <v>76</v>
      </c>
      <c r="T31" s="66" t="str">
        <f t="shared" si="5"/>
        <v xml:space="preserve">     o</v>
      </c>
    </row>
    <row r="32" spans="1:20" x14ac:dyDescent="0.3">
      <c r="A32" s="42" t="s">
        <v>916</v>
      </c>
      <c r="B32" s="42">
        <v>14</v>
      </c>
      <c r="C32" s="42">
        <v>30</v>
      </c>
      <c r="D32" s="42">
        <v>63</v>
      </c>
      <c r="E32" s="66" t="str">
        <f t="shared" si="1"/>
        <v>|||||||||||||| 14</v>
      </c>
      <c r="F32" s="66" t="str">
        <f t="shared" si="2"/>
        <v>|||||||||||||||||||||||||||| 14</v>
      </c>
      <c r="G32" s="66"/>
      <c r="H32" s="42" t="s">
        <v>916</v>
      </c>
      <c r="I32" s="42">
        <v>14</v>
      </c>
      <c r="J32" s="42">
        <v>30</v>
      </c>
      <c r="K32" s="42">
        <v>63</v>
      </c>
      <c r="L32" s="64">
        <f t="shared" si="3"/>
        <v>-33</v>
      </c>
      <c r="M32" s="65" t="str">
        <f t="shared" si="4"/>
        <v>||||||||||||||||</v>
      </c>
      <c r="N32" s="66" t="str">
        <f t="shared" si="0"/>
        <v/>
      </c>
      <c r="O32" s="66"/>
      <c r="P32" s="42" t="s">
        <v>916</v>
      </c>
      <c r="Q32" s="42">
        <v>14</v>
      </c>
      <c r="R32" s="42">
        <v>30</v>
      </c>
      <c r="S32" s="42">
        <v>63</v>
      </c>
      <c r="T32" s="66" t="str">
        <f t="shared" si="5"/>
        <v xml:space="preserve">       o</v>
      </c>
    </row>
    <row r="33" spans="1:20" x14ac:dyDescent="0.3">
      <c r="A33" s="42" t="s">
        <v>917</v>
      </c>
      <c r="B33" s="42">
        <v>11</v>
      </c>
      <c r="C33" s="42">
        <v>59</v>
      </c>
      <c r="D33" s="42">
        <v>37</v>
      </c>
      <c r="E33" s="66" t="str">
        <f t="shared" si="1"/>
        <v>||||||||||| 11</v>
      </c>
      <c r="F33" s="66" t="str">
        <f t="shared" si="2"/>
        <v>|||||||||||||||||||||| 11</v>
      </c>
      <c r="G33" s="66"/>
      <c r="H33" s="42" t="s">
        <v>917</v>
      </c>
      <c r="I33" s="42">
        <v>11</v>
      </c>
      <c r="J33" s="42">
        <v>59</v>
      </c>
      <c r="K33" s="42">
        <v>37</v>
      </c>
      <c r="L33" s="64">
        <f t="shared" si="3"/>
        <v>22</v>
      </c>
      <c r="M33" s="65" t="str">
        <f t="shared" si="4"/>
        <v/>
      </c>
      <c r="N33" s="66" t="str">
        <f t="shared" si="0"/>
        <v>|||||||||||</v>
      </c>
      <c r="O33" s="66"/>
      <c r="P33" s="42" t="s">
        <v>917</v>
      </c>
      <c r="Q33" s="42">
        <v>11</v>
      </c>
      <c r="R33" s="42">
        <v>59</v>
      </c>
      <c r="S33" s="42">
        <v>37</v>
      </c>
      <c r="T33" s="66" t="str">
        <f t="shared" si="5"/>
        <v xml:space="preserve">     o</v>
      </c>
    </row>
    <row r="34" spans="1:20" x14ac:dyDescent="0.3">
      <c r="A34" s="42" t="s">
        <v>918</v>
      </c>
      <c r="B34" s="42">
        <v>5</v>
      </c>
      <c r="C34" s="42">
        <v>35</v>
      </c>
      <c r="D34" s="42">
        <v>26</v>
      </c>
      <c r="E34" s="66" t="str">
        <f t="shared" si="1"/>
        <v>||||| 5</v>
      </c>
      <c r="F34" s="66" t="str">
        <f t="shared" si="2"/>
        <v>|||||||||| 5</v>
      </c>
      <c r="G34" s="66"/>
      <c r="H34" s="42" t="s">
        <v>918</v>
      </c>
      <c r="I34" s="42">
        <v>5</v>
      </c>
      <c r="J34" s="42">
        <v>35</v>
      </c>
      <c r="K34" s="42">
        <v>26</v>
      </c>
      <c r="L34" s="64">
        <f t="shared" si="3"/>
        <v>9</v>
      </c>
      <c r="M34" s="65" t="str">
        <f t="shared" si="4"/>
        <v/>
      </c>
      <c r="N34" s="66" t="str">
        <f t="shared" si="0"/>
        <v>||||</v>
      </c>
      <c r="O34" s="66"/>
      <c r="P34" s="42" t="s">
        <v>918</v>
      </c>
      <c r="Q34" s="42">
        <v>5</v>
      </c>
      <c r="R34" s="42">
        <v>35</v>
      </c>
      <c r="S34" s="42">
        <v>26</v>
      </c>
      <c r="T34" s="66" t="str">
        <f t="shared" si="5"/>
        <v xml:space="preserve">  o</v>
      </c>
    </row>
    <row r="35" spans="1:20" x14ac:dyDescent="0.3">
      <c r="A35" s="42" t="s">
        <v>919</v>
      </c>
      <c r="B35" s="42">
        <v>31</v>
      </c>
      <c r="C35" s="42">
        <v>37</v>
      </c>
      <c r="D35" s="42">
        <v>104</v>
      </c>
      <c r="E35" s="66" t="str">
        <f t="shared" si="1"/>
        <v>||||||||||||||||||||||||||||||| 31</v>
      </c>
      <c r="F35" s="66" t="str">
        <f t="shared" si="2"/>
        <v>|||||||||||||||||||||||||||||||||||||||||||||||||||||||||||||| 31</v>
      </c>
      <c r="G35" s="66"/>
      <c r="H35" s="42" t="s">
        <v>919</v>
      </c>
      <c r="I35" s="42">
        <v>31</v>
      </c>
      <c r="J35" s="42">
        <v>37</v>
      </c>
      <c r="K35" s="42">
        <v>104</v>
      </c>
      <c r="L35" s="64">
        <f t="shared" si="3"/>
        <v>-67</v>
      </c>
      <c r="M35" s="65" t="str">
        <f t="shared" si="4"/>
        <v>|||||||||||||||||||||||||||||||||</v>
      </c>
      <c r="N35" s="66" t="str">
        <f t="shared" si="0"/>
        <v/>
      </c>
      <c r="O35" s="66"/>
      <c r="P35" s="42" t="s">
        <v>919</v>
      </c>
      <c r="Q35" s="42">
        <v>31</v>
      </c>
      <c r="R35" s="42">
        <v>37</v>
      </c>
      <c r="S35" s="42">
        <v>104</v>
      </c>
      <c r="T35" s="66" t="str">
        <f t="shared" si="5"/>
        <v xml:space="preserve">               o</v>
      </c>
    </row>
    <row r="36" spans="1:20" x14ac:dyDescent="0.3">
      <c r="A36" s="42" t="s">
        <v>920</v>
      </c>
      <c r="B36" s="42">
        <v>4</v>
      </c>
      <c r="C36" s="42">
        <v>35</v>
      </c>
      <c r="D36" s="42">
        <v>49</v>
      </c>
      <c r="E36" s="66" t="str">
        <f t="shared" si="1"/>
        <v>|||| 4</v>
      </c>
      <c r="F36" s="66" t="str">
        <f t="shared" si="2"/>
        <v>|||||||| 4</v>
      </c>
      <c r="G36" s="66"/>
      <c r="H36" s="42" t="s">
        <v>920</v>
      </c>
      <c r="I36" s="42">
        <v>4</v>
      </c>
      <c r="J36" s="42">
        <v>35</v>
      </c>
      <c r="K36" s="42">
        <v>49</v>
      </c>
      <c r="L36" s="64">
        <f t="shared" si="3"/>
        <v>-14</v>
      </c>
      <c r="M36" s="65" t="str">
        <f t="shared" si="4"/>
        <v>|||||||</v>
      </c>
      <c r="N36" s="66" t="str">
        <f t="shared" si="0"/>
        <v/>
      </c>
      <c r="O36" s="66"/>
      <c r="P36" s="42" t="s">
        <v>920</v>
      </c>
      <c r="Q36" s="42">
        <v>4</v>
      </c>
      <c r="R36" s="42">
        <v>35</v>
      </c>
      <c r="S36" s="42">
        <v>49</v>
      </c>
      <c r="T36" s="66" t="str">
        <f t="shared" si="5"/>
        <v xml:space="preserve">  o</v>
      </c>
    </row>
    <row r="37" spans="1:20" x14ac:dyDescent="0.3">
      <c r="A37" s="42" t="s">
        <v>921</v>
      </c>
      <c r="B37" s="42">
        <v>17</v>
      </c>
      <c r="C37" s="42">
        <v>29</v>
      </c>
      <c r="D37" s="42">
        <v>82</v>
      </c>
      <c r="E37" s="66" t="str">
        <f t="shared" si="1"/>
        <v>||||||||||||||||| 17</v>
      </c>
      <c r="F37" s="66" t="str">
        <f t="shared" si="2"/>
        <v>|||||||||||||||||||||||||||||||||| 17</v>
      </c>
      <c r="G37" s="66"/>
      <c r="H37" s="42" t="s">
        <v>921</v>
      </c>
      <c r="I37" s="42">
        <v>17</v>
      </c>
      <c r="J37" s="42">
        <v>29</v>
      </c>
      <c r="K37" s="42">
        <v>82</v>
      </c>
      <c r="L37" s="64">
        <f t="shared" si="3"/>
        <v>-53</v>
      </c>
      <c r="M37" s="65" t="str">
        <f t="shared" si="4"/>
        <v>||||||||||||||||||||||||||</v>
      </c>
      <c r="N37" s="66" t="str">
        <f t="shared" si="0"/>
        <v/>
      </c>
      <c r="O37" s="66"/>
      <c r="P37" s="42" t="s">
        <v>921</v>
      </c>
      <c r="Q37" s="42">
        <v>17</v>
      </c>
      <c r="R37" s="42">
        <v>29</v>
      </c>
      <c r="S37" s="42">
        <v>82</v>
      </c>
      <c r="T37" s="66" t="str">
        <f t="shared" si="5"/>
        <v xml:space="preserve">        o</v>
      </c>
    </row>
    <row r="38" spans="1:20" x14ac:dyDescent="0.3">
      <c r="A38" s="42" t="s">
        <v>922</v>
      </c>
      <c r="B38" s="42">
        <v>12</v>
      </c>
      <c r="C38" s="42">
        <v>37</v>
      </c>
      <c r="D38" s="42">
        <v>71</v>
      </c>
      <c r="E38" s="66" t="str">
        <f t="shared" si="1"/>
        <v>|||||||||||| 12</v>
      </c>
      <c r="F38" s="66" t="str">
        <f t="shared" si="2"/>
        <v>|||||||||||||||||||||||| 12</v>
      </c>
      <c r="G38" s="66"/>
      <c r="H38" s="42" t="s">
        <v>922</v>
      </c>
      <c r="I38" s="42">
        <v>12</v>
      </c>
      <c r="J38" s="42">
        <v>37</v>
      </c>
      <c r="K38" s="42">
        <v>71</v>
      </c>
      <c r="L38" s="64">
        <f t="shared" si="3"/>
        <v>-34</v>
      </c>
      <c r="M38" s="65" t="str">
        <f t="shared" si="4"/>
        <v>|||||||||||||||||</v>
      </c>
      <c r="N38" s="66" t="str">
        <f t="shared" si="0"/>
        <v/>
      </c>
      <c r="O38" s="66"/>
      <c r="P38" s="42" t="s">
        <v>922</v>
      </c>
      <c r="Q38" s="42">
        <v>12</v>
      </c>
      <c r="R38" s="42">
        <v>37</v>
      </c>
      <c r="S38" s="42">
        <v>71</v>
      </c>
      <c r="T38" s="66" t="str">
        <f t="shared" si="5"/>
        <v xml:space="preserve">      o</v>
      </c>
    </row>
    <row r="39" spans="1:20" x14ac:dyDescent="0.3">
      <c r="A39" s="42" t="s">
        <v>923</v>
      </c>
      <c r="B39" s="42">
        <v>16</v>
      </c>
      <c r="C39" s="42">
        <v>31</v>
      </c>
      <c r="D39" s="42">
        <v>92</v>
      </c>
      <c r="E39" s="66" t="str">
        <f t="shared" si="1"/>
        <v>|||||||||||||||| 16</v>
      </c>
      <c r="F39" s="66" t="str">
        <f t="shared" si="2"/>
        <v>|||||||||||||||||||||||||||||||| 16</v>
      </c>
      <c r="G39" s="66"/>
      <c r="H39" s="42" t="s">
        <v>923</v>
      </c>
      <c r="I39" s="42">
        <v>16</v>
      </c>
      <c r="J39" s="42">
        <v>31</v>
      </c>
      <c r="K39" s="42">
        <v>92</v>
      </c>
      <c r="L39" s="64">
        <f t="shared" si="3"/>
        <v>-61</v>
      </c>
      <c r="M39" s="65" t="str">
        <f t="shared" si="4"/>
        <v>||||||||||||||||||||||||||||||</v>
      </c>
      <c r="N39" s="66" t="str">
        <f t="shared" si="0"/>
        <v/>
      </c>
      <c r="O39" s="66"/>
      <c r="P39" s="42" t="s">
        <v>923</v>
      </c>
      <c r="Q39" s="42">
        <v>16</v>
      </c>
      <c r="R39" s="42">
        <v>31</v>
      </c>
      <c r="S39" s="42">
        <v>92</v>
      </c>
      <c r="T39" s="66" t="str">
        <f t="shared" si="5"/>
        <v xml:space="preserve">        o</v>
      </c>
    </row>
    <row r="40" spans="1:20" x14ac:dyDescent="0.3">
      <c r="A40" s="42" t="s">
        <v>924</v>
      </c>
      <c r="B40" s="42">
        <v>17</v>
      </c>
      <c r="C40" s="42">
        <v>33</v>
      </c>
      <c r="D40" s="42">
        <v>72</v>
      </c>
      <c r="E40" s="66" t="str">
        <f t="shared" si="1"/>
        <v>||||||||||||||||| 17</v>
      </c>
      <c r="F40" s="66" t="str">
        <f t="shared" si="2"/>
        <v>|||||||||||||||||||||||||||||||||| 17</v>
      </c>
      <c r="G40" s="66"/>
      <c r="H40" s="42" t="s">
        <v>924</v>
      </c>
      <c r="I40" s="42">
        <v>17</v>
      </c>
      <c r="J40" s="42">
        <v>33</v>
      </c>
      <c r="K40" s="42">
        <v>72</v>
      </c>
      <c r="L40" s="64">
        <f t="shared" si="3"/>
        <v>-39</v>
      </c>
      <c r="M40" s="65" t="str">
        <f t="shared" si="4"/>
        <v>|||||||||||||||||||</v>
      </c>
      <c r="N40" s="66" t="str">
        <f t="shared" si="0"/>
        <v/>
      </c>
      <c r="O40" s="66"/>
      <c r="P40" s="42" t="s">
        <v>924</v>
      </c>
      <c r="Q40" s="42">
        <v>17</v>
      </c>
      <c r="R40" s="42">
        <v>33</v>
      </c>
      <c r="S40" s="42">
        <v>72</v>
      </c>
      <c r="T40" s="66" t="str">
        <f t="shared" si="5"/>
        <v xml:space="preserve">        o</v>
      </c>
    </row>
    <row r="41" spans="1:20" x14ac:dyDescent="0.3">
      <c r="A41" s="42" t="s">
        <v>925</v>
      </c>
      <c r="B41" s="42">
        <v>13</v>
      </c>
      <c r="C41" s="42">
        <v>53</v>
      </c>
      <c r="D41" s="42">
        <v>75</v>
      </c>
      <c r="E41" s="66" t="str">
        <f t="shared" si="1"/>
        <v>||||||||||||| 13</v>
      </c>
      <c r="F41" s="66" t="str">
        <f t="shared" si="2"/>
        <v>|||||||||||||||||||||||||| 13</v>
      </c>
      <c r="G41" s="66"/>
      <c r="H41" s="42" t="s">
        <v>925</v>
      </c>
      <c r="I41" s="42">
        <v>13</v>
      </c>
      <c r="J41" s="42">
        <v>53</v>
      </c>
      <c r="K41" s="42">
        <v>75</v>
      </c>
      <c r="L41" s="64">
        <f t="shared" si="3"/>
        <v>-22</v>
      </c>
      <c r="M41" s="65" t="str">
        <f t="shared" si="4"/>
        <v>|||||||||||</v>
      </c>
      <c r="N41" s="66" t="str">
        <f t="shared" si="0"/>
        <v/>
      </c>
      <c r="O41" s="66"/>
      <c r="P41" s="42" t="s">
        <v>925</v>
      </c>
      <c r="Q41" s="42">
        <v>13</v>
      </c>
      <c r="R41" s="42">
        <v>53</v>
      </c>
      <c r="S41" s="42">
        <v>75</v>
      </c>
      <c r="T41" s="66" t="str">
        <f t="shared" si="5"/>
        <v xml:space="preserve">      o</v>
      </c>
    </row>
    <row r="42" spans="1:20" x14ac:dyDescent="0.3">
      <c r="E42" s="66"/>
      <c r="L42" s="64"/>
      <c r="M42" s="65"/>
      <c r="N42" s="66"/>
      <c r="O42" s="66"/>
    </row>
    <row r="43" spans="1:20" x14ac:dyDescent="0.3">
      <c r="E43" s="66"/>
      <c r="L43" s="64"/>
      <c r="M43" s="65"/>
      <c r="N43" s="66"/>
      <c r="O43" s="66"/>
    </row>
    <row r="44" spans="1:20" x14ac:dyDescent="0.3">
      <c r="E44" s="66"/>
      <c r="L44" s="64"/>
      <c r="M44" s="65"/>
      <c r="N44" s="66"/>
      <c r="O44" s="66"/>
    </row>
    <row r="45" spans="1:20" x14ac:dyDescent="0.3">
      <c r="E45" s="66"/>
      <c r="F45" s="123" t="s">
        <v>260</v>
      </c>
      <c r="L45" s="64"/>
      <c r="M45" s="124" t="s">
        <v>262</v>
      </c>
      <c r="N45" s="66"/>
      <c r="O45" s="66"/>
    </row>
    <row r="46" spans="1:20" x14ac:dyDescent="0.3">
      <c r="E46" s="66"/>
      <c r="F46" s="42" t="s">
        <v>261</v>
      </c>
      <c r="L46" s="64"/>
      <c r="M46" s="65"/>
      <c r="N46" s="66"/>
      <c r="O46" s="66"/>
    </row>
    <row r="47" spans="1:20" x14ac:dyDescent="0.3">
      <c r="E47" s="66"/>
      <c r="L47" s="64"/>
      <c r="M47" s="65"/>
      <c r="N47" s="66"/>
      <c r="O47" s="66"/>
    </row>
    <row r="48" spans="1:20" x14ac:dyDescent="0.3">
      <c r="E48" s="66"/>
      <c r="L48" s="64"/>
      <c r="M48" s="65"/>
      <c r="N48" s="66"/>
      <c r="O48" s="66"/>
    </row>
    <row r="49" spans="5:15" x14ac:dyDescent="0.3">
      <c r="E49" s="66"/>
      <c r="L49" s="64"/>
      <c r="M49" s="65"/>
      <c r="N49" s="66"/>
      <c r="O49" s="66"/>
    </row>
  </sheetData>
  <phoneticPr fontId="5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39997558519241921"/>
  </sheetPr>
  <dimension ref="A1:AQ35"/>
  <sheetViews>
    <sheetView showGridLines="0" workbookViewId="0">
      <selection activeCell="G8" sqref="G8"/>
    </sheetView>
  </sheetViews>
  <sheetFormatPr defaultColWidth="3.5703125" defaultRowHeight="15" x14ac:dyDescent="0.3"/>
  <cols>
    <col min="1" max="1" width="12.140625" style="1" customWidth="1"/>
    <col min="2" max="16384" width="3.5703125" style="1"/>
  </cols>
  <sheetData>
    <row r="1" spans="1:43" customFormat="1" ht="21.75" x14ac:dyDescent="0.45">
      <c r="A1" s="78" t="s">
        <v>304</v>
      </c>
    </row>
    <row r="2" spans="1:43" x14ac:dyDescent="0.3">
      <c r="A2" s="3" t="s">
        <v>295</v>
      </c>
      <c r="B2" t="s">
        <v>303</v>
      </c>
    </row>
    <row r="3" spans="1:43" x14ac:dyDescent="0.3">
      <c r="A3" s="2"/>
    </row>
    <row r="4" spans="1:43" x14ac:dyDescent="0.3">
      <c r="B4" s="119"/>
    </row>
    <row r="5" spans="1:43" ht="19.5" x14ac:dyDescent="0.4">
      <c r="D5" s="18" t="s">
        <v>803</v>
      </c>
      <c r="T5" s="18" t="s">
        <v>804</v>
      </c>
    </row>
    <row r="6" spans="1:43" ht="19.5" x14ac:dyDescent="0.4">
      <c r="T6" s="18"/>
    </row>
    <row r="8" spans="1:43" x14ac:dyDescent="0.3">
      <c r="D8" s="119" t="s">
        <v>321</v>
      </c>
      <c r="G8" s="119" t="s">
        <v>322</v>
      </c>
      <c r="T8" s="119" t="s">
        <v>321</v>
      </c>
      <c r="U8" s="1" t="s">
        <v>320</v>
      </c>
      <c r="V8" s="1" t="s">
        <v>320</v>
      </c>
      <c r="W8" s="1" t="s">
        <v>320</v>
      </c>
      <c r="X8" s="1" t="s">
        <v>320</v>
      </c>
      <c r="Y8" s="1" t="s">
        <v>320</v>
      </c>
      <c r="Z8" s="1" t="s">
        <v>320</v>
      </c>
      <c r="AA8" s="1" t="s">
        <v>320</v>
      </c>
      <c r="AB8" s="119">
        <v>1</v>
      </c>
      <c r="AE8" s="119">
        <v>12</v>
      </c>
      <c r="AF8" s="1" t="s">
        <v>320</v>
      </c>
      <c r="AG8" s="1" t="s">
        <v>320</v>
      </c>
      <c r="AH8" s="1" t="s">
        <v>320</v>
      </c>
      <c r="AI8" s="1" t="s">
        <v>320</v>
      </c>
      <c r="AJ8" s="1" t="s">
        <v>320</v>
      </c>
      <c r="AK8" s="1" t="s">
        <v>320</v>
      </c>
      <c r="AL8" s="1" t="s">
        <v>320</v>
      </c>
      <c r="AM8" s="1" t="s">
        <v>320</v>
      </c>
      <c r="AN8" s="1" t="s">
        <v>320</v>
      </c>
      <c r="AO8" s="1" t="s">
        <v>320</v>
      </c>
      <c r="AP8" s="1" t="s">
        <v>320</v>
      </c>
      <c r="AQ8" s="119" t="s">
        <v>322</v>
      </c>
    </row>
    <row r="9" spans="1:43" x14ac:dyDescent="0.3">
      <c r="D9" s="1" t="s">
        <v>320</v>
      </c>
      <c r="G9" s="1" t="s">
        <v>320</v>
      </c>
      <c r="AB9" s="1" t="s">
        <v>320</v>
      </c>
      <c r="AE9" s="1" t="s">
        <v>320</v>
      </c>
    </row>
    <row r="10" spans="1:43" x14ac:dyDescent="0.3">
      <c r="D10" s="1" t="s">
        <v>320</v>
      </c>
      <c r="G10" s="1" t="s">
        <v>320</v>
      </c>
      <c r="AB10" s="1" t="s">
        <v>320</v>
      </c>
      <c r="AE10" s="1" t="s">
        <v>320</v>
      </c>
    </row>
    <row r="11" spans="1:43" x14ac:dyDescent="0.3">
      <c r="D11" s="1" t="s">
        <v>320</v>
      </c>
      <c r="G11" s="1" t="s">
        <v>320</v>
      </c>
      <c r="AB11" s="1" t="s">
        <v>320</v>
      </c>
      <c r="AE11" s="1" t="s">
        <v>320</v>
      </c>
    </row>
    <row r="12" spans="1:43" x14ac:dyDescent="0.3">
      <c r="D12" s="1" t="s">
        <v>320</v>
      </c>
      <c r="G12" s="1" t="s">
        <v>320</v>
      </c>
      <c r="AB12" s="1" t="s">
        <v>320</v>
      </c>
      <c r="AE12" s="1" t="s">
        <v>320</v>
      </c>
    </row>
    <row r="13" spans="1:43" x14ac:dyDescent="0.3">
      <c r="D13" s="1" t="s">
        <v>320</v>
      </c>
      <c r="G13" s="1" t="s">
        <v>320</v>
      </c>
      <c r="AB13" s="1" t="s">
        <v>320</v>
      </c>
      <c r="AE13" s="1" t="s">
        <v>320</v>
      </c>
    </row>
    <row r="14" spans="1:43" x14ac:dyDescent="0.3">
      <c r="D14" s="1" t="s">
        <v>320</v>
      </c>
      <c r="G14" s="1" t="s">
        <v>320</v>
      </c>
      <c r="AB14" s="1" t="s">
        <v>320</v>
      </c>
      <c r="AE14" s="119">
        <v>11</v>
      </c>
      <c r="AF14" s="1" t="s">
        <v>320</v>
      </c>
      <c r="AG14" s="1" t="s">
        <v>320</v>
      </c>
      <c r="AH14" s="119">
        <v>10</v>
      </c>
    </row>
    <row r="15" spans="1:43" x14ac:dyDescent="0.3">
      <c r="D15" s="1" t="s">
        <v>320</v>
      </c>
      <c r="G15" s="1" t="s">
        <v>320</v>
      </c>
      <c r="AB15" s="1" t="s">
        <v>320</v>
      </c>
      <c r="AH15" s="1" t="s">
        <v>320</v>
      </c>
    </row>
    <row r="16" spans="1:43" x14ac:dyDescent="0.3">
      <c r="D16" s="1" t="s">
        <v>320</v>
      </c>
      <c r="G16" s="1" t="s">
        <v>320</v>
      </c>
      <c r="AB16" s="1" t="s">
        <v>320</v>
      </c>
      <c r="AH16" s="1" t="s">
        <v>320</v>
      </c>
    </row>
    <row r="17" spans="4:34" x14ac:dyDescent="0.3">
      <c r="D17" s="1" t="s">
        <v>320</v>
      </c>
      <c r="G17" s="119">
        <v>4</v>
      </c>
      <c r="H17" s="1" t="s">
        <v>320</v>
      </c>
      <c r="I17" s="1" t="s">
        <v>320</v>
      </c>
      <c r="J17" s="1" t="s">
        <v>320</v>
      </c>
      <c r="K17" s="1" t="s">
        <v>320</v>
      </c>
      <c r="L17" s="1" t="s">
        <v>320</v>
      </c>
      <c r="M17" s="119">
        <v>3</v>
      </c>
      <c r="AB17" s="1" t="s">
        <v>320</v>
      </c>
      <c r="AH17" s="1" t="s">
        <v>320</v>
      </c>
    </row>
    <row r="18" spans="4:34" x14ac:dyDescent="0.3">
      <c r="D18" s="1" t="s">
        <v>320</v>
      </c>
      <c r="M18" s="1" t="s">
        <v>320</v>
      </c>
      <c r="AB18" s="1" t="s">
        <v>320</v>
      </c>
      <c r="AE18" s="119">
        <v>8</v>
      </c>
      <c r="AF18" s="1" t="s">
        <v>320</v>
      </c>
      <c r="AG18" s="1" t="s">
        <v>320</v>
      </c>
      <c r="AH18" s="119">
        <v>9</v>
      </c>
    </row>
    <row r="19" spans="4:34" x14ac:dyDescent="0.3">
      <c r="D19" s="1" t="s">
        <v>320</v>
      </c>
      <c r="M19" s="1" t="s">
        <v>320</v>
      </c>
      <c r="AB19" s="1" t="s">
        <v>320</v>
      </c>
      <c r="AE19" s="1" t="s">
        <v>320</v>
      </c>
    </row>
    <row r="20" spans="4:34" x14ac:dyDescent="0.3">
      <c r="D20" s="1" t="s">
        <v>320</v>
      </c>
      <c r="M20" s="1" t="s">
        <v>320</v>
      </c>
      <c r="AB20" s="1" t="s">
        <v>320</v>
      </c>
      <c r="AE20" s="1" t="s">
        <v>320</v>
      </c>
    </row>
    <row r="21" spans="4:34" x14ac:dyDescent="0.3">
      <c r="D21" s="1" t="s">
        <v>320</v>
      </c>
      <c r="M21" s="1" t="s">
        <v>320</v>
      </c>
      <c r="AB21" s="1" t="s">
        <v>320</v>
      </c>
      <c r="AE21" s="1" t="s">
        <v>320</v>
      </c>
    </row>
    <row r="22" spans="4:34" x14ac:dyDescent="0.3">
      <c r="D22" s="1" t="s">
        <v>320</v>
      </c>
      <c r="M22" s="1" t="s">
        <v>320</v>
      </c>
      <c r="AB22" s="1" t="s">
        <v>320</v>
      </c>
      <c r="AE22" s="119">
        <v>7</v>
      </c>
      <c r="AF22" s="1" t="s">
        <v>320</v>
      </c>
      <c r="AG22" s="1" t="s">
        <v>320</v>
      </c>
      <c r="AH22" s="119">
        <v>6</v>
      </c>
    </row>
    <row r="23" spans="4:34" x14ac:dyDescent="0.3">
      <c r="D23" s="1" t="s">
        <v>320</v>
      </c>
      <c r="M23" s="1" t="s">
        <v>320</v>
      </c>
      <c r="AB23" s="1" t="s">
        <v>320</v>
      </c>
      <c r="AH23" s="1" t="s">
        <v>320</v>
      </c>
    </row>
    <row r="24" spans="4:34" x14ac:dyDescent="0.3">
      <c r="D24" s="119">
        <v>1</v>
      </c>
      <c r="E24" s="1" t="s">
        <v>320</v>
      </c>
      <c r="F24" s="1" t="s">
        <v>320</v>
      </c>
      <c r="G24" s="1" t="s">
        <v>320</v>
      </c>
      <c r="H24" s="1" t="s">
        <v>320</v>
      </c>
      <c r="I24" s="1" t="s">
        <v>320</v>
      </c>
      <c r="J24" s="1" t="s">
        <v>320</v>
      </c>
      <c r="K24" s="1" t="s">
        <v>320</v>
      </c>
      <c r="L24" s="1" t="s">
        <v>320</v>
      </c>
      <c r="M24" s="119">
        <v>2</v>
      </c>
      <c r="AB24" s="1" t="s">
        <v>320</v>
      </c>
      <c r="AH24" s="1" t="s">
        <v>320</v>
      </c>
    </row>
    <row r="25" spans="4:34" x14ac:dyDescent="0.3">
      <c r="AB25" s="1" t="s">
        <v>320</v>
      </c>
      <c r="AH25" s="1" t="s">
        <v>320</v>
      </c>
    </row>
    <row r="26" spans="4:34" x14ac:dyDescent="0.3">
      <c r="S26" s="119">
        <v>4</v>
      </c>
      <c r="T26" s="1" t="s">
        <v>320</v>
      </c>
      <c r="U26" s="1" t="s">
        <v>320</v>
      </c>
      <c r="V26" s="1" t="s">
        <v>320</v>
      </c>
      <c r="W26" s="1" t="s">
        <v>320</v>
      </c>
      <c r="X26" s="1" t="s">
        <v>320</v>
      </c>
      <c r="Y26" s="1" t="s">
        <v>320</v>
      </c>
      <c r="Z26" s="1" t="s">
        <v>320</v>
      </c>
      <c r="AA26" s="1" t="s">
        <v>320</v>
      </c>
      <c r="AB26" s="1" t="s">
        <v>320</v>
      </c>
      <c r="AC26" s="1" t="s">
        <v>320</v>
      </c>
      <c r="AD26" s="1" t="s">
        <v>320</v>
      </c>
      <c r="AE26" s="1" t="s">
        <v>320</v>
      </c>
      <c r="AF26" s="1" t="s">
        <v>320</v>
      </c>
      <c r="AG26" s="1" t="s">
        <v>320</v>
      </c>
      <c r="AH26" s="119">
        <v>5</v>
      </c>
    </row>
    <row r="27" spans="4:34" x14ac:dyDescent="0.3">
      <c r="S27" s="1" t="s">
        <v>320</v>
      </c>
      <c r="AB27" s="1" t="s">
        <v>320</v>
      </c>
    </row>
    <row r="28" spans="4:34" x14ac:dyDescent="0.3">
      <c r="S28" s="1" t="s">
        <v>320</v>
      </c>
      <c r="AB28" s="1" t="s">
        <v>320</v>
      </c>
    </row>
    <row r="29" spans="4:34" x14ac:dyDescent="0.3">
      <c r="S29" s="1" t="s">
        <v>320</v>
      </c>
      <c r="AB29" s="1" t="s">
        <v>320</v>
      </c>
    </row>
    <row r="30" spans="4:34" x14ac:dyDescent="0.3">
      <c r="S30" s="1" t="s">
        <v>320</v>
      </c>
      <c r="AB30" s="1" t="s">
        <v>320</v>
      </c>
    </row>
    <row r="31" spans="4:34" x14ac:dyDescent="0.3">
      <c r="S31" s="1" t="s">
        <v>320</v>
      </c>
      <c r="AB31" s="1" t="s">
        <v>320</v>
      </c>
    </row>
    <row r="32" spans="4:34" x14ac:dyDescent="0.3">
      <c r="S32" s="1" t="s">
        <v>320</v>
      </c>
      <c r="AB32" s="1" t="s">
        <v>320</v>
      </c>
    </row>
    <row r="33" spans="19:28" x14ac:dyDescent="0.3">
      <c r="S33" s="1" t="s">
        <v>320</v>
      </c>
      <c r="AB33" s="1" t="s">
        <v>320</v>
      </c>
    </row>
    <row r="34" spans="19:28" x14ac:dyDescent="0.3">
      <c r="S34" s="1" t="s">
        <v>320</v>
      </c>
      <c r="AB34" s="1" t="s">
        <v>320</v>
      </c>
    </row>
    <row r="35" spans="19:28" x14ac:dyDescent="0.3">
      <c r="S35" s="119">
        <v>3</v>
      </c>
      <c r="T35" s="1" t="s">
        <v>320</v>
      </c>
      <c r="U35" s="1" t="s">
        <v>320</v>
      </c>
      <c r="V35" s="1" t="s">
        <v>320</v>
      </c>
      <c r="W35" s="1" t="s">
        <v>320</v>
      </c>
      <c r="X35" s="1" t="s">
        <v>320</v>
      </c>
      <c r="Y35" s="1" t="s">
        <v>320</v>
      </c>
      <c r="Z35" s="1" t="s">
        <v>320</v>
      </c>
      <c r="AA35" s="1" t="s">
        <v>320</v>
      </c>
      <c r="AB35" s="119">
        <v>2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9"/>
  <sheetViews>
    <sheetView showGridLines="0" topLeftCell="A37" workbookViewId="0">
      <selection activeCell="A2" sqref="A2"/>
    </sheetView>
  </sheetViews>
  <sheetFormatPr defaultRowHeight="15" x14ac:dyDescent="0.3"/>
  <cols>
    <col min="2" max="2" width="16.28515625" bestFit="1" customWidth="1"/>
    <col min="5" max="5" width="17.7109375" style="120" bestFit="1" customWidth="1"/>
  </cols>
  <sheetData>
    <row r="1" spans="1:10" ht="21.75" x14ac:dyDescent="0.45">
      <c r="A1" s="43" t="s">
        <v>264</v>
      </c>
    </row>
    <row r="2" spans="1:10" x14ac:dyDescent="0.3">
      <c r="B2" s="5"/>
    </row>
    <row r="3" spans="1:10" s="8" customFormat="1" ht="19.5" x14ac:dyDescent="0.4">
      <c r="B3" s="18" t="s">
        <v>945</v>
      </c>
      <c r="E3" s="77"/>
      <c r="J3" s="18" t="s">
        <v>944</v>
      </c>
    </row>
    <row r="5" spans="1:10" x14ac:dyDescent="0.3">
      <c r="B5" s="36" t="s">
        <v>394</v>
      </c>
      <c r="C5" s="36" t="s">
        <v>796</v>
      </c>
      <c r="D5" s="36" t="s">
        <v>797</v>
      </c>
      <c r="E5" s="36" t="s">
        <v>943</v>
      </c>
    </row>
    <row r="6" spans="1:10" x14ac:dyDescent="0.3">
      <c r="B6" t="s">
        <v>397</v>
      </c>
      <c r="C6">
        <v>67</v>
      </c>
      <c r="D6">
        <v>950</v>
      </c>
      <c r="E6" s="120">
        <f t="shared" ref="E6:E17" si="0">D6/C6</f>
        <v>14.17910447761194</v>
      </c>
    </row>
    <row r="7" spans="1:10" x14ac:dyDescent="0.3">
      <c r="B7" t="s">
        <v>400</v>
      </c>
      <c r="C7">
        <v>68</v>
      </c>
      <c r="D7">
        <v>853</v>
      </c>
      <c r="E7" s="120">
        <f t="shared" si="0"/>
        <v>12.544117647058824</v>
      </c>
    </row>
    <row r="8" spans="1:10" x14ac:dyDescent="0.3">
      <c r="B8" t="s">
        <v>401</v>
      </c>
      <c r="C8">
        <v>28</v>
      </c>
      <c r="D8">
        <v>355</v>
      </c>
      <c r="E8" s="120">
        <f t="shared" si="0"/>
        <v>12.678571428571429</v>
      </c>
    </row>
    <row r="9" spans="1:10" x14ac:dyDescent="0.3">
      <c r="B9" t="s">
        <v>402</v>
      </c>
      <c r="C9">
        <v>21</v>
      </c>
      <c r="D9">
        <v>256</v>
      </c>
      <c r="E9" s="120">
        <f t="shared" si="0"/>
        <v>12.19047619047619</v>
      </c>
    </row>
    <row r="10" spans="1:10" x14ac:dyDescent="0.3">
      <c r="B10" t="s">
        <v>403</v>
      </c>
      <c r="C10">
        <v>26</v>
      </c>
      <c r="D10">
        <v>275</v>
      </c>
      <c r="E10" s="120">
        <f t="shared" si="0"/>
        <v>10.576923076923077</v>
      </c>
    </row>
    <row r="11" spans="1:10" x14ac:dyDescent="0.3">
      <c r="B11" t="s">
        <v>404</v>
      </c>
      <c r="C11">
        <v>14</v>
      </c>
      <c r="D11">
        <v>158</v>
      </c>
      <c r="E11" s="120">
        <f t="shared" si="0"/>
        <v>11.285714285714286</v>
      </c>
    </row>
    <row r="12" spans="1:10" x14ac:dyDescent="0.3">
      <c r="B12" t="s">
        <v>405</v>
      </c>
      <c r="C12">
        <v>2</v>
      </c>
      <c r="D12">
        <v>25</v>
      </c>
      <c r="E12" s="120">
        <f t="shared" si="0"/>
        <v>12.5</v>
      </c>
    </row>
    <row r="13" spans="1:10" x14ac:dyDescent="0.3">
      <c r="B13" t="s">
        <v>406</v>
      </c>
      <c r="C13">
        <v>45</v>
      </c>
      <c r="D13">
        <v>408</v>
      </c>
      <c r="E13" s="120">
        <f t="shared" si="0"/>
        <v>9.0666666666666664</v>
      </c>
    </row>
    <row r="14" spans="1:10" x14ac:dyDescent="0.3">
      <c r="B14" t="s">
        <v>408</v>
      </c>
      <c r="C14">
        <v>8</v>
      </c>
      <c r="D14">
        <v>83</v>
      </c>
      <c r="E14" s="120">
        <f t="shared" si="0"/>
        <v>10.375</v>
      </c>
    </row>
    <row r="15" spans="1:10" x14ac:dyDescent="0.3">
      <c r="B15" t="s">
        <v>409</v>
      </c>
      <c r="C15">
        <v>5</v>
      </c>
      <c r="D15">
        <v>52</v>
      </c>
      <c r="E15" s="120">
        <f t="shared" si="0"/>
        <v>10.4</v>
      </c>
    </row>
    <row r="16" spans="1:10" x14ac:dyDescent="0.3">
      <c r="B16" t="s">
        <v>411</v>
      </c>
      <c r="C16">
        <v>2</v>
      </c>
      <c r="D16">
        <v>29</v>
      </c>
      <c r="E16" s="120">
        <f t="shared" si="0"/>
        <v>14.5</v>
      </c>
    </row>
    <row r="17" spans="2:10" x14ac:dyDescent="0.3">
      <c r="B17" t="s">
        <v>412</v>
      </c>
      <c r="C17">
        <v>2</v>
      </c>
      <c r="D17">
        <v>21</v>
      </c>
      <c r="E17" s="120">
        <f t="shared" si="0"/>
        <v>10.5</v>
      </c>
    </row>
    <row r="25" spans="2:10" ht="19.5" x14ac:dyDescent="0.4">
      <c r="B25" s="18"/>
      <c r="J25" s="18"/>
    </row>
    <row r="26" spans="2:10" ht="19.5" x14ac:dyDescent="0.4">
      <c r="B26" s="18" t="s">
        <v>945</v>
      </c>
      <c r="J26" s="18" t="s">
        <v>944</v>
      </c>
    </row>
    <row r="49" spans="2:10" ht="19.5" x14ac:dyDescent="0.4">
      <c r="B49" s="18" t="s">
        <v>945</v>
      </c>
      <c r="J49" s="18" t="s">
        <v>944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47"/>
  <sheetViews>
    <sheetView showGridLines="0" workbookViewId="0">
      <selection activeCell="B36" sqref="B36"/>
    </sheetView>
  </sheetViews>
  <sheetFormatPr defaultRowHeight="15" x14ac:dyDescent="0.3"/>
  <sheetData>
    <row r="1" spans="1:4" s="121" customFormat="1" ht="21.75" x14ac:dyDescent="0.45">
      <c r="A1" s="43" t="s">
        <v>265</v>
      </c>
    </row>
    <row r="2" spans="1:4" x14ac:dyDescent="0.3">
      <c r="A2" t="s">
        <v>266</v>
      </c>
    </row>
    <row r="3" spans="1:4" x14ac:dyDescent="0.3">
      <c r="A3" t="s">
        <v>267</v>
      </c>
    </row>
    <row r="12" spans="1:4" x14ac:dyDescent="0.3">
      <c r="B12">
        <v>0.44786833729322884</v>
      </c>
      <c r="C12">
        <v>0.79028022332432712</v>
      </c>
      <c r="D12">
        <v>0.97422612754696747</v>
      </c>
    </row>
    <row r="13" spans="1:4" x14ac:dyDescent="0.3">
      <c r="B13">
        <v>0.80027867906449712</v>
      </c>
      <c r="C13">
        <v>0.73481035274744366</v>
      </c>
      <c r="D13">
        <v>0.35344568078241556</v>
      </c>
    </row>
    <row r="14" spans="1:4" x14ac:dyDescent="0.3">
      <c r="B14">
        <v>0.32505403891073859</v>
      </c>
      <c r="C14">
        <v>0.54039469105210003</v>
      </c>
      <c r="D14">
        <v>0.41589725680623579</v>
      </c>
    </row>
    <row r="15" spans="1:4" x14ac:dyDescent="0.3">
      <c r="B15">
        <v>0.96873374030921444</v>
      </c>
      <c r="C15">
        <v>6.4175234892097421E-2</v>
      </c>
      <c r="D15">
        <v>0.48774161182920128</v>
      </c>
    </row>
    <row r="16" spans="1:4" x14ac:dyDescent="0.3">
      <c r="B16">
        <v>0.13735772204360397</v>
      </c>
      <c r="C16">
        <v>0.23633393840375616</v>
      </c>
      <c r="D16">
        <v>0.89535747400058097</v>
      </c>
    </row>
    <row r="17" spans="2:4" x14ac:dyDescent="0.3">
      <c r="B17">
        <v>3.1745844195535611E-2</v>
      </c>
      <c r="C17">
        <v>0.86236081876411941</v>
      </c>
      <c r="D17">
        <v>0.64615334171668337</v>
      </c>
    </row>
    <row r="18" spans="2:4" x14ac:dyDescent="0.3">
      <c r="B18">
        <v>0.41935554016039434</v>
      </c>
      <c r="C18">
        <v>0.31323799271074559</v>
      </c>
      <c r="D18">
        <v>1.8489631079990687E-2</v>
      </c>
    </row>
    <row r="19" spans="2:4" x14ac:dyDescent="0.3">
      <c r="B19">
        <v>0.35919043947213414</v>
      </c>
      <c r="C19">
        <v>0.54936436678580414</v>
      </c>
      <c r="D19">
        <v>0.23691872658025681</v>
      </c>
    </row>
    <row r="20" spans="2:4" x14ac:dyDescent="0.3">
      <c r="B20">
        <v>0.92470941403105744</v>
      </c>
      <c r="C20">
        <v>0.83758812844844788</v>
      </c>
      <c r="D20">
        <v>0.50176231767085255</v>
      </c>
    </row>
    <row r="21" spans="2:4" x14ac:dyDescent="0.3">
      <c r="B21">
        <v>0.11715092306475672</v>
      </c>
      <c r="C21">
        <v>0.71961913254189902</v>
      </c>
      <c r="D21">
        <v>1.8551751708141717E-2</v>
      </c>
    </row>
    <row r="22" spans="2:4" x14ac:dyDescent="0.3">
      <c r="B22">
        <v>0.39025912960900389</v>
      </c>
      <c r="C22">
        <v>0.2977409505810602</v>
      </c>
      <c r="D22">
        <v>0.61784522524443153</v>
      </c>
    </row>
    <row r="23" spans="2:4" x14ac:dyDescent="0.3">
      <c r="B23">
        <v>0.14892715183214844</v>
      </c>
      <c r="C23">
        <v>8.2117555907741391E-2</v>
      </c>
      <c r="D23">
        <v>0.65436236963025518</v>
      </c>
    </row>
    <row r="24" spans="2:4" x14ac:dyDescent="0.3">
      <c r="B24">
        <v>0.73607975154148275</v>
      </c>
      <c r="C24">
        <v>0.36783133179831928</v>
      </c>
      <c r="D24">
        <v>0.44880883676810535</v>
      </c>
    </row>
    <row r="37" spans="1:2" ht="16.5" x14ac:dyDescent="0.3">
      <c r="B37" s="122" t="s">
        <v>268</v>
      </c>
    </row>
    <row r="42" spans="1:2" x14ac:dyDescent="0.3">
      <c r="A42" t="s">
        <v>269</v>
      </c>
    </row>
    <row r="43" spans="1:2" x14ac:dyDescent="0.3">
      <c r="A43" t="s">
        <v>270</v>
      </c>
    </row>
    <row r="44" spans="1:2" x14ac:dyDescent="0.3">
      <c r="A44" t="s">
        <v>271</v>
      </c>
    </row>
    <row r="45" spans="1:2" x14ac:dyDescent="0.3">
      <c r="A45" t="s">
        <v>272</v>
      </c>
    </row>
    <row r="46" spans="1:2" x14ac:dyDescent="0.3">
      <c r="A46" t="s">
        <v>273</v>
      </c>
    </row>
    <row r="47" spans="1:2" x14ac:dyDescent="0.3">
      <c r="A47" t="s">
        <v>274</v>
      </c>
    </row>
  </sheetData>
  <phoneticPr fontId="5" type="noConversion"/>
  <hyperlinks>
    <hyperlink ref="B37" r:id="rId1" display="http://www.perceptualedge.com/examples.htm#"/>
  </hyperlinks>
  <pageMargins left="0.75" right="0.75" top="1" bottom="1" header="0.5" footer="0.5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D24"/>
  <sheetViews>
    <sheetView showGridLines="0" workbookViewId="0">
      <selection activeCell="A12" sqref="A12"/>
    </sheetView>
  </sheetViews>
  <sheetFormatPr defaultRowHeight="15" x14ac:dyDescent="0.3"/>
  <cols>
    <col min="1" max="1" width="3.140625" customWidth="1"/>
    <col min="4" max="4" width="13.85546875" bestFit="1" customWidth="1"/>
  </cols>
  <sheetData>
    <row r="1" spans="2:4" ht="21.75" x14ac:dyDescent="0.45">
      <c r="B1" s="43" t="s">
        <v>949</v>
      </c>
    </row>
    <row r="3" spans="2:4" x14ac:dyDescent="0.3">
      <c r="B3" t="s">
        <v>275</v>
      </c>
    </row>
    <row r="4" spans="2:4" x14ac:dyDescent="0.3">
      <c r="B4" t="s">
        <v>276</v>
      </c>
    </row>
    <row r="5" spans="2:4" x14ac:dyDescent="0.3">
      <c r="B5" t="s">
        <v>277</v>
      </c>
    </row>
    <row r="6" spans="2:4" x14ac:dyDescent="0.3">
      <c r="B6" t="s">
        <v>278</v>
      </c>
    </row>
    <row r="7" spans="2:4" x14ac:dyDescent="0.3">
      <c r="B7" s="1" t="s">
        <v>279</v>
      </c>
    </row>
    <row r="8" spans="2:4" x14ac:dyDescent="0.3">
      <c r="B8" t="s">
        <v>280</v>
      </c>
    </row>
    <row r="9" spans="2:4" x14ac:dyDescent="0.3">
      <c r="B9" t="s">
        <v>281</v>
      </c>
    </row>
    <row r="14" spans="2:4" x14ac:dyDescent="0.3">
      <c r="B14" s="39" t="s">
        <v>946</v>
      </c>
      <c r="C14" s="39" t="s">
        <v>947</v>
      </c>
      <c r="D14" s="39" t="s">
        <v>950</v>
      </c>
    </row>
    <row r="15" spans="2:4" x14ac:dyDescent="0.3">
      <c r="B15" s="38">
        <v>1997</v>
      </c>
      <c r="C15" s="38">
        <v>23564</v>
      </c>
      <c r="D15" s="38">
        <v>25</v>
      </c>
    </row>
    <row r="16" spans="2:4" x14ac:dyDescent="0.3">
      <c r="B16" s="38">
        <v>1998</v>
      </c>
      <c r="C16" s="38">
        <v>27948</v>
      </c>
      <c r="D16" s="38">
        <v>25</v>
      </c>
    </row>
    <row r="17" spans="2:4" x14ac:dyDescent="0.3">
      <c r="B17" s="38">
        <v>1999</v>
      </c>
      <c r="C17" s="38">
        <v>31500</v>
      </c>
      <c r="D17" s="38">
        <v>50</v>
      </c>
    </row>
    <row r="18" spans="2:4" x14ac:dyDescent="0.3">
      <c r="B18" s="38">
        <v>2000</v>
      </c>
      <c r="C18" s="38">
        <v>33021</v>
      </c>
      <c r="D18" s="38">
        <v>50</v>
      </c>
    </row>
    <row r="19" spans="2:4" x14ac:dyDescent="0.3">
      <c r="B19" s="38">
        <v>2001</v>
      </c>
      <c r="C19" s="38">
        <v>35093</v>
      </c>
      <c r="D19" s="38">
        <v>70</v>
      </c>
    </row>
    <row r="20" spans="2:4" x14ac:dyDescent="0.3">
      <c r="B20" s="38">
        <v>2002</v>
      </c>
      <c r="C20" s="38">
        <v>36927</v>
      </c>
      <c r="D20" s="38">
        <v>80</v>
      </c>
    </row>
    <row r="21" spans="2:4" x14ac:dyDescent="0.3">
      <c r="B21" s="38">
        <v>2003</v>
      </c>
      <c r="C21" s="38">
        <v>37321</v>
      </c>
      <c r="D21" s="38">
        <v>75</v>
      </c>
    </row>
    <row r="22" spans="2:4" x14ac:dyDescent="0.3">
      <c r="B22" s="38">
        <v>2004</v>
      </c>
      <c r="C22" s="38">
        <v>41002</v>
      </c>
      <c r="D22" s="38">
        <v>65</v>
      </c>
    </row>
    <row r="23" spans="2:4" x14ac:dyDescent="0.3">
      <c r="B23" s="38">
        <v>2005</v>
      </c>
      <c r="C23" s="38">
        <v>43982</v>
      </c>
      <c r="D23" s="38">
        <v>60</v>
      </c>
    </row>
    <row r="24" spans="2:4" x14ac:dyDescent="0.3">
      <c r="B24" s="38">
        <v>2006</v>
      </c>
      <c r="C24" s="38">
        <v>47283</v>
      </c>
      <c r="D24" s="38">
        <v>55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E37"/>
  <sheetViews>
    <sheetView showGridLines="0" workbookViewId="0">
      <selection activeCell="D16" sqref="D16"/>
    </sheetView>
  </sheetViews>
  <sheetFormatPr defaultRowHeight="15" x14ac:dyDescent="0.3"/>
  <cols>
    <col min="1" max="1" width="3.140625" customWidth="1"/>
    <col min="4" max="4" width="13.85546875" bestFit="1" customWidth="1"/>
  </cols>
  <sheetData>
    <row r="1" spans="2:2" ht="21.75" x14ac:dyDescent="0.45">
      <c r="B1" s="43" t="s">
        <v>282</v>
      </c>
    </row>
    <row r="3" spans="2:2" x14ac:dyDescent="0.3">
      <c r="B3" t="s">
        <v>283</v>
      </c>
    </row>
    <row r="4" spans="2:2" x14ac:dyDescent="0.3">
      <c r="B4" t="s">
        <v>284</v>
      </c>
    </row>
    <row r="7" spans="2:2" x14ac:dyDescent="0.3">
      <c r="B7" t="s">
        <v>285</v>
      </c>
    </row>
    <row r="8" spans="2:2" x14ac:dyDescent="0.3">
      <c r="B8" s="1" t="s">
        <v>286</v>
      </c>
    </row>
    <row r="10" spans="2:2" x14ac:dyDescent="0.3">
      <c r="B10" t="s">
        <v>287</v>
      </c>
    </row>
    <row r="11" spans="2:2" x14ac:dyDescent="0.3">
      <c r="B11" t="s">
        <v>288</v>
      </c>
    </row>
    <row r="13" spans="2:2" x14ac:dyDescent="0.3">
      <c r="B13" s="5" t="s">
        <v>289</v>
      </c>
    </row>
    <row r="14" spans="2:2" x14ac:dyDescent="0.3">
      <c r="B14" s="5" t="s">
        <v>290</v>
      </c>
    </row>
    <row r="16" spans="2:2" x14ac:dyDescent="0.3">
      <c r="B16" t="s">
        <v>291</v>
      </c>
    </row>
    <row r="17" spans="2:5" x14ac:dyDescent="0.3">
      <c r="B17" t="s">
        <v>292</v>
      </c>
    </row>
    <row r="27" spans="2:5" x14ac:dyDescent="0.3">
      <c r="D27">
        <v>1</v>
      </c>
      <c r="E27">
        <v>2</v>
      </c>
    </row>
    <row r="28" spans="2:5" x14ac:dyDescent="0.3">
      <c r="C28">
        <v>1</v>
      </c>
      <c r="D28">
        <v>0.33981485061341177</v>
      </c>
      <c r="E28">
        <v>4.8910634108267015E-2</v>
      </c>
    </row>
    <row r="29" spans="2:5" x14ac:dyDescent="0.3">
      <c r="C29">
        <v>2</v>
      </c>
      <c r="D29">
        <v>5.8518081266490274E-2</v>
      </c>
      <c r="E29">
        <v>0.50898302619813429</v>
      </c>
    </row>
    <row r="30" spans="2:5" x14ac:dyDescent="0.3">
      <c r="C30">
        <v>3</v>
      </c>
      <c r="D30">
        <v>0.53878320464044993</v>
      </c>
      <c r="E30">
        <v>0.9963824329222053</v>
      </c>
    </row>
    <row r="31" spans="2:5" x14ac:dyDescent="0.3">
      <c r="C31">
        <v>4</v>
      </c>
      <c r="D31">
        <v>0.68359910853446149</v>
      </c>
      <c r="E31">
        <v>0.99643953697229648</v>
      </c>
    </row>
    <row r="32" spans="2:5" x14ac:dyDescent="0.3">
      <c r="C32">
        <v>5</v>
      </c>
      <c r="D32">
        <v>0.81578482061213098</v>
      </c>
      <c r="E32">
        <v>0.10767847208642034</v>
      </c>
    </row>
    <row r="33" spans="3:5" x14ac:dyDescent="0.3">
      <c r="C33">
        <v>6</v>
      </c>
      <c r="D33">
        <v>0.88707102470388244</v>
      </c>
      <c r="E33">
        <v>0.2294184381141493</v>
      </c>
    </row>
    <row r="34" spans="3:5" x14ac:dyDescent="0.3">
      <c r="C34">
        <v>7</v>
      </c>
      <c r="D34">
        <v>0.21221962405282291</v>
      </c>
      <c r="E34">
        <v>0.69858305450731972</v>
      </c>
    </row>
    <row r="35" spans="3:5" x14ac:dyDescent="0.3">
      <c r="C35">
        <v>8</v>
      </c>
      <c r="D35">
        <v>0.64925505532519168</v>
      </c>
      <c r="E35">
        <v>3.6419429521921565E-2</v>
      </c>
    </row>
    <row r="36" spans="3:5" x14ac:dyDescent="0.3">
      <c r="C36">
        <v>9</v>
      </c>
      <c r="D36">
        <v>0.31325082716333985</v>
      </c>
      <c r="E36">
        <v>0.51914137330754073</v>
      </c>
    </row>
    <row r="37" spans="3:5" x14ac:dyDescent="0.3">
      <c r="C37">
        <v>10</v>
      </c>
      <c r="D37">
        <v>0.38983406416892863</v>
      </c>
      <c r="E37">
        <v>0.15574540088498079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P38"/>
  <sheetViews>
    <sheetView workbookViewId="0">
      <selection activeCell="N5" sqref="N5"/>
    </sheetView>
  </sheetViews>
  <sheetFormatPr defaultRowHeight="15" x14ac:dyDescent="0.25"/>
  <cols>
    <col min="1" max="8" width="9.140625" style="313"/>
    <col min="9" max="9" width="9.140625" style="313" customWidth="1"/>
    <col min="10" max="16384" width="9.140625" style="313"/>
  </cols>
  <sheetData>
    <row r="1" spans="1:16" x14ac:dyDescent="0.25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x14ac:dyDescent="0.2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16" x14ac:dyDescent="0.2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</row>
    <row r="5" spans="1:16" x14ac:dyDescent="0.25">
      <c r="A5" s="314"/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</row>
    <row r="6" spans="1:16" x14ac:dyDescent="0.25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</row>
    <row r="7" spans="1:16" x14ac:dyDescent="0.25">
      <c r="A7" s="314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</row>
    <row r="8" spans="1:16" x14ac:dyDescent="0.25">
      <c r="A8" s="314"/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</row>
    <row r="9" spans="1:16" x14ac:dyDescent="0.25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</row>
    <row r="10" spans="1:16" x14ac:dyDescent="0.25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</row>
    <row r="11" spans="1:16" x14ac:dyDescent="0.25">
      <c r="A11" s="314"/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</row>
    <row r="12" spans="1:16" x14ac:dyDescent="0.25">
      <c r="A12" s="314"/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</row>
    <row r="13" spans="1:16" x14ac:dyDescent="0.25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</row>
    <row r="14" spans="1:16" x14ac:dyDescent="0.25">
      <c r="A14" s="314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</row>
    <row r="15" spans="1:16" x14ac:dyDescent="0.25">
      <c r="A15" s="314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</row>
    <row r="16" spans="1:16" x14ac:dyDescent="0.25">
      <c r="A16" s="314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</row>
    <row r="17" spans="1:16" x14ac:dyDescent="0.25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</row>
    <row r="18" spans="1:16" x14ac:dyDescent="0.25">
      <c r="A18" s="314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</row>
    <row r="19" spans="1:16" x14ac:dyDescent="0.25">
      <c r="A19" s="314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</row>
    <row r="20" spans="1:16" x14ac:dyDescent="0.25">
      <c r="A20" s="314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</row>
    <row r="21" spans="1:16" x14ac:dyDescent="0.25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</row>
    <row r="22" spans="1:16" x14ac:dyDescent="0.25">
      <c r="A22" s="314"/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</row>
    <row r="23" spans="1:16" x14ac:dyDescent="0.25">
      <c r="A23" s="314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</row>
    <row r="24" spans="1:16" x14ac:dyDescent="0.25">
      <c r="A24" s="314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</row>
    <row r="25" spans="1:16" x14ac:dyDescent="0.25">
      <c r="A25" s="314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</row>
    <row r="26" spans="1:16" x14ac:dyDescent="0.25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</row>
    <row r="27" spans="1:16" x14ac:dyDescent="0.2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</row>
    <row r="28" spans="1:16" x14ac:dyDescent="0.25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</row>
    <row r="29" spans="1:16" x14ac:dyDescent="0.25">
      <c r="A29" s="314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</row>
    <row r="30" spans="1:16" x14ac:dyDescent="0.25">
      <c r="A30" s="314"/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</row>
    <row r="31" spans="1:16" x14ac:dyDescent="0.25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</row>
    <row r="32" spans="1:16" x14ac:dyDescent="0.25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</row>
    <row r="33" spans="1:16" x14ac:dyDescent="0.25">
      <c r="A33" s="314"/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</row>
    <row r="34" spans="1:16" x14ac:dyDescent="0.25">
      <c r="A34" s="314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</row>
    <row r="35" spans="1:16" x14ac:dyDescent="0.25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</row>
    <row r="36" spans="1:16" x14ac:dyDescent="0.25">
      <c r="A36" s="314"/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</row>
    <row r="37" spans="1:16" x14ac:dyDescent="0.25">
      <c r="A37" s="314"/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</row>
    <row r="38" spans="1:16" x14ac:dyDescent="0.25">
      <c r="A38" s="314"/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</sheetPr>
  <dimension ref="A1:M1199"/>
  <sheetViews>
    <sheetView showGridLines="0" workbookViewId="0">
      <selection activeCell="A12" sqref="A12"/>
    </sheetView>
  </sheetViews>
  <sheetFormatPr defaultRowHeight="15" x14ac:dyDescent="0.3"/>
  <cols>
    <col min="2" max="4" width="8.7109375" bestFit="1" customWidth="1"/>
    <col min="6" max="11" width="8.7109375" bestFit="1" customWidth="1"/>
    <col min="13" max="13" width="8.7109375" bestFit="1" customWidth="1"/>
  </cols>
  <sheetData>
    <row r="1" spans="1:13" ht="21.75" x14ac:dyDescent="0.45">
      <c r="A1" s="78" t="s">
        <v>304</v>
      </c>
    </row>
    <row r="2" spans="1:13" s="1" customFormat="1" x14ac:dyDescent="0.3">
      <c r="A2" s="3" t="s">
        <v>295</v>
      </c>
      <c r="B2" t="s">
        <v>305</v>
      </c>
    </row>
    <row r="3" spans="1:13" x14ac:dyDescent="0.3">
      <c r="A3" s="3" t="s">
        <v>296</v>
      </c>
      <c r="B3" t="s">
        <v>239</v>
      </c>
    </row>
    <row r="6" spans="1:13" ht="19.5" x14ac:dyDescent="0.4">
      <c r="B6" s="6" t="s">
        <v>325</v>
      </c>
    </row>
    <row r="8" spans="1:13" s="8" customFormat="1" ht="19.5" x14ac:dyDescent="0.4">
      <c r="B8" s="18" t="s">
        <v>803</v>
      </c>
      <c r="F8" s="18" t="s">
        <v>804</v>
      </c>
      <c r="M8" s="18" t="s">
        <v>805</v>
      </c>
    </row>
    <row r="10" spans="1:13" x14ac:dyDescent="0.3">
      <c r="B10" s="4" t="s">
        <v>324</v>
      </c>
      <c r="C10" s="4" t="s">
        <v>324</v>
      </c>
      <c r="D10" s="4" t="s">
        <v>324</v>
      </c>
      <c r="M10" s="4" t="s">
        <v>324</v>
      </c>
    </row>
    <row r="11" spans="1:13" x14ac:dyDescent="0.3">
      <c r="B11" s="4" t="s">
        <v>324</v>
      </c>
      <c r="C11" s="4" t="s">
        <v>324</v>
      </c>
      <c r="D11" s="4" t="s">
        <v>324</v>
      </c>
      <c r="M11" s="4" t="s">
        <v>324</v>
      </c>
    </row>
    <row r="12" spans="1:13" x14ac:dyDescent="0.3">
      <c r="B12" s="4" t="s">
        <v>324</v>
      </c>
      <c r="C12" s="4" t="s">
        <v>324</v>
      </c>
      <c r="D12" s="4" t="s">
        <v>324</v>
      </c>
      <c r="F12" s="4" t="s">
        <v>324</v>
      </c>
      <c r="G12" s="4" t="s">
        <v>324</v>
      </c>
      <c r="H12" s="4" t="s">
        <v>324</v>
      </c>
      <c r="I12" s="4" t="s">
        <v>324</v>
      </c>
      <c r="J12" s="4" t="s">
        <v>324</v>
      </c>
      <c r="K12" s="4" t="s">
        <v>324</v>
      </c>
      <c r="M12" s="4" t="s">
        <v>324</v>
      </c>
    </row>
    <row r="13" spans="1:13" x14ac:dyDescent="0.3">
      <c r="B13" s="4" t="s">
        <v>324</v>
      </c>
      <c r="C13" s="4" t="s">
        <v>324</v>
      </c>
      <c r="D13" s="4" t="s">
        <v>324</v>
      </c>
      <c r="F13" s="4" t="s">
        <v>324</v>
      </c>
      <c r="G13" s="4" t="s">
        <v>324</v>
      </c>
      <c r="H13" s="4" t="s">
        <v>324</v>
      </c>
      <c r="I13" s="4" t="s">
        <v>324</v>
      </c>
      <c r="J13" s="4" t="s">
        <v>324</v>
      </c>
      <c r="K13" s="4" t="s">
        <v>324</v>
      </c>
      <c r="M13" s="4" t="s">
        <v>324</v>
      </c>
    </row>
    <row r="14" spans="1:13" x14ac:dyDescent="0.3">
      <c r="B14" s="4" t="s">
        <v>324</v>
      </c>
      <c r="C14" s="4" t="s">
        <v>324</v>
      </c>
      <c r="D14" s="4" t="s">
        <v>324</v>
      </c>
      <c r="F14" s="4" t="s">
        <v>324</v>
      </c>
      <c r="G14" s="4" t="s">
        <v>324</v>
      </c>
      <c r="H14" s="4" t="s">
        <v>324</v>
      </c>
      <c r="I14" s="4" t="s">
        <v>324</v>
      </c>
      <c r="J14" s="4" t="s">
        <v>324</v>
      </c>
      <c r="K14" s="4" t="s">
        <v>324</v>
      </c>
      <c r="M14" s="4" t="s">
        <v>324</v>
      </c>
    </row>
    <row r="15" spans="1:13" x14ac:dyDescent="0.3">
      <c r="B15" s="4" t="s">
        <v>324</v>
      </c>
      <c r="C15" s="4" t="s">
        <v>324</v>
      </c>
      <c r="D15" s="4" t="s">
        <v>324</v>
      </c>
      <c r="F15" s="4" t="s">
        <v>324</v>
      </c>
      <c r="G15" s="4" t="s">
        <v>324</v>
      </c>
      <c r="H15" s="4" t="s">
        <v>324</v>
      </c>
      <c r="I15" s="4" t="s">
        <v>324</v>
      </c>
      <c r="J15" s="4" t="s">
        <v>324</v>
      </c>
      <c r="K15" s="4" t="s">
        <v>324</v>
      </c>
      <c r="M15" s="4" t="s">
        <v>324</v>
      </c>
    </row>
    <row r="16" spans="1:13" x14ac:dyDescent="0.3">
      <c r="B16" s="4" t="s">
        <v>324</v>
      </c>
      <c r="C16" s="4" t="s">
        <v>324</v>
      </c>
      <c r="D16" s="4" t="s">
        <v>324</v>
      </c>
      <c r="F16" s="4" t="s">
        <v>324</v>
      </c>
      <c r="G16" s="4" t="s">
        <v>324</v>
      </c>
      <c r="H16" s="4" t="s">
        <v>324</v>
      </c>
      <c r="I16" s="4" t="s">
        <v>324</v>
      </c>
      <c r="J16" s="4" t="s">
        <v>324</v>
      </c>
      <c r="K16" s="4" t="s">
        <v>324</v>
      </c>
      <c r="M16" s="4" t="s">
        <v>324</v>
      </c>
    </row>
    <row r="17" spans="2:13" x14ac:dyDescent="0.3">
      <c r="B17" s="4" t="s">
        <v>324</v>
      </c>
      <c r="C17" s="4" t="s">
        <v>324</v>
      </c>
      <c r="D17" s="4" t="s">
        <v>324</v>
      </c>
      <c r="F17" s="4" t="s">
        <v>324</v>
      </c>
      <c r="G17" s="4" t="s">
        <v>324</v>
      </c>
      <c r="H17" s="4" t="s">
        <v>324</v>
      </c>
      <c r="I17" s="4" t="s">
        <v>324</v>
      </c>
      <c r="J17" s="4" t="s">
        <v>324</v>
      </c>
      <c r="K17" s="4" t="s">
        <v>324</v>
      </c>
      <c r="M17" s="4" t="s">
        <v>324</v>
      </c>
    </row>
    <row r="18" spans="2:13" x14ac:dyDescent="0.3">
      <c r="B18" s="4" t="s">
        <v>324</v>
      </c>
      <c r="C18" s="4" t="s">
        <v>324</v>
      </c>
      <c r="D18" s="4" t="s">
        <v>324</v>
      </c>
      <c r="F18" s="4" t="s">
        <v>324</v>
      </c>
      <c r="G18" s="4" t="s">
        <v>324</v>
      </c>
      <c r="H18" s="4" t="s">
        <v>324</v>
      </c>
      <c r="I18" s="4" t="s">
        <v>324</v>
      </c>
      <c r="J18" s="4" t="s">
        <v>324</v>
      </c>
      <c r="K18" s="4" t="s">
        <v>324</v>
      </c>
      <c r="M18" s="4" t="s">
        <v>324</v>
      </c>
    </row>
    <row r="19" spans="2:13" x14ac:dyDescent="0.3">
      <c r="B19" s="4" t="s">
        <v>324</v>
      </c>
      <c r="C19" s="4" t="s">
        <v>324</v>
      </c>
      <c r="D19" s="4" t="s">
        <v>324</v>
      </c>
      <c r="F19" s="4" t="s">
        <v>324</v>
      </c>
      <c r="G19" s="4" t="s">
        <v>324</v>
      </c>
      <c r="H19" s="4" t="s">
        <v>324</v>
      </c>
      <c r="I19" s="4" t="s">
        <v>324</v>
      </c>
      <c r="J19" s="4" t="s">
        <v>324</v>
      </c>
      <c r="K19" s="4" t="s">
        <v>324</v>
      </c>
      <c r="M19" s="4" t="s">
        <v>324</v>
      </c>
    </row>
    <row r="20" spans="2:13" x14ac:dyDescent="0.3">
      <c r="B20" s="4" t="s">
        <v>324</v>
      </c>
      <c r="C20" s="4" t="s">
        <v>324</v>
      </c>
      <c r="D20" s="4" t="s">
        <v>324</v>
      </c>
      <c r="F20" s="4" t="s">
        <v>324</v>
      </c>
      <c r="G20" s="4" t="s">
        <v>324</v>
      </c>
      <c r="H20" s="4" t="s">
        <v>324</v>
      </c>
      <c r="I20" s="4" t="s">
        <v>324</v>
      </c>
      <c r="J20" s="4" t="s">
        <v>324</v>
      </c>
      <c r="K20" s="4" t="s">
        <v>324</v>
      </c>
      <c r="M20" s="4" t="s">
        <v>324</v>
      </c>
    </row>
    <row r="21" spans="2:13" x14ac:dyDescent="0.3">
      <c r="B21" s="4" t="s">
        <v>324</v>
      </c>
      <c r="C21" s="4" t="s">
        <v>324</v>
      </c>
      <c r="D21" s="4" t="s">
        <v>324</v>
      </c>
      <c r="F21" s="4" t="s">
        <v>324</v>
      </c>
      <c r="G21" s="4" t="s">
        <v>324</v>
      </c>
      <c r="H21" s="4" t="s">
        <v>324</v>
      </c>
      <c r="I21" s="4" t="s">
        <v>324</v>
      </c>
      <c r="J21" s="4" t="s">
        <v>324</v>
      </c>
      <c r="K21" s="4" t="s">
        <v>324</v>
      </c>
      <c r="M21" s="4" t="s">
        <v>324</v>
      </c>
    </row>
    <row r="22" spans="2:13" x14ac:dyDescent="0.3">
      <c r="B22" s="4" t="s">
        <v>324</v>
      </c>
      <c r="C22" s="4" t="s">
        <v>324</v>
      </c>
      <c r="D22" s="4" t="s">
        <v>324</v>
      </c>
      <c r="F22" s="4" t="s">
        <v>324</v>
      </c>
      <c r="G22" s="4" t="s">
        <v>324</v>
      </c>
      <c r="H22" s="4" t="s">
        <v>324</v>
      </c>
      <c r="I22" s="4" t="s">
        <v>324</v>
      </c>
      <c r="J22" s="4" t="s">
        <v>324</v>
      </c>
      <c r="K22" s="4" t="s">
        <v>324</v>
      </c>
      <c r="M22" s="4" t="s">
        <v>324</v>
      </c>
    </row>
    <row r="23" spans="2:13" x14ac:dyDescent="0.3">
      <c r="B23" s="4" t="s">
        <v>324</v>
      </c>
      <c r="C23" s="4" t="s">
        <v>324</v>
      </c>
      <c r="D23" s="4" t="s">
        <v>324</v>
      </c>
      <c r="F23" s="4" t="s">
        <v>324</v>
      </c>
      <c r="G23" s="4" t="s">
        <v>324</v>
      </c>
      <c r="H23" s="4" t="s">
        <v>324</v>
      </c>
      <c r="I23" s="4" t="s">
        <v>324</v>
      </c>
      <c r="J23" s="4" t="s">
        <v>324</v>
      </c>
      <c r="K23" s="4" t="s">
        <v>324</v>
      </c>
      <c r="M23" s="4" t="s">
        <v>324</v>
      </c>
    </row>
    <row r="24" spans="2:13" x14ac:dyDescent="0.3">
      <c r="F24" s="4" t="s">
        <v>324</v>
      </c>
      <c r="G24" s="4" t="s">
        <v>324</v>
      </c>
      <c r="H24" s="4" t="s">
        <v>324</v>
      </c>
      <c r="I24" s="4" t="s">
        <v>324</v>
      </c>
      <c r="J24" s="4" t="s">
        <v>324</v>
      </c>
      <c r="K24" s="4" t="s">
        <v>324</v>
      </c>
      <c r="M24" s="4" t="s">
        <v>324</v>
      </c>
    </row>
    <row r="25" spans="2:13" x14ac:dyDescent="0.3">
      <c r="F25" s="4" t="s">
        <v>324</v>
      </c>
      <c r="G25" s="4" t="s">
        <v>324</v>
      </c>
      <c r="H25" s="4" t="s">
        <v>324</v>
      </c>
      <c r="I25" s="4" t="s">
        <v>324</v>
      </c>
      <c r="J25" s="4" t="s">
        <v>324</v>
      </c>
      <c r="K25" s="4" t="s">
        <v>324</v>
      </c>
      <c r="M25" s="4" t="s">
        <v>324</v>
      </c>
    </row>
    <row r="26" spans="2:13" x14ac:dyDescent="0.3">
      <c r="F26" s="4" t="s">
        <v>324</v>
      </c>
      <c r="G26" s="4" t="s">
        <v>324</v>
      </c>
      <c r="H26" s="4" t="s">
        <v>324</v>
      </c>
      <c r="I26" s="4" t="s">
        <v>324</v>
      </c>
      <c r="J26" s="4" t="s">
        <v>324</v>
      </c>
      <c r="K26" s="4" t="s">
        <v>324</v>
      </c>
      <c r="M26" s="4" t="s">
        <v>324</v>
      </c>
    </row>
    <row r="27" spans="2:13" x14ac:dyDescent="0.3">
      <c r="F27" s="4" t="s">
        <v>324</v>
      </c>
      <c r="G27" s="4" t="s">
        <v>324</v>
      </c>
      <c r="H27" s="4" t="s">
        <v>324</v>
      </c>
      <c r="I27" s="4" t="s">
        <v>324</v>
      </c>
      <c r="J27" s="4" t="s">
        <v>324</v>
      </c>
      <c r="K27" s="4" t="s">
        <v>324</v>
      </c>
      <c r="M27" s="4" t="s">
        <v>324</v>
      </c>
    </row>
    <row r="28" spans="2:13" x14ac:dyDescent="0.3">
      <c r="F28" s="4" t="s">
        <v>324</v>
      </c>
      <c r="G28" s="4" t="s">
        <v>324</v>
      </c>
      <c r="H28" s="4" t="s">
        <v>324</v>
      </c>
      <c r="I28" s="4" t="s">
        <v>324</v>
      </c>
      <c r="J28" s="4" t="s">
        <v>324</v>
      </c>
      <c r="K28" s="4" t="s">
        <v>324</v>
      </c>
      <c r="M28" s="4" t="s">
        <v>324</v>
      </c>
    </row>
    <row r="29" spans="2:13" x14ac:dyDescent="0.3">
      <c r="F29" s="4" t="s">
        <v>324</v>
      </c>
      <c r="G29" s="4" t="s">
        <v>324</v>
      </c>
      <c r="H29" s="4" t="s">
        <v>324</v>
      </c>
      <c r="I29" s="4" t="s">
        <v>324</v>
      </c>
      <c r="J29" s="4" t="s">
        <v>324</v>
      </c>
      <c r="K29" s="4" t="s">
        <v>324</v>
      </c>
      <c r="M29" s="4" t="s">
        <v>324</v>
      </c>
    </row>
    <row r="30" spans="2:13" x14ac:dyDescent="0.3">
      <c r="F30" s="4" t="s">
        <v>324</v>
      </c>
      <c r="G30" s="4" t="s">
        <v>324</v>
      </c>
      <c r="H30" s="4" t="s">
        <v>324</v>
      </c>
      <c r="I30" s="4" t="s">
        <v>324</v>
      </c>
      <c r="J30" s="4" t="s">
        <v>324</v>
      </c>
      <c r="K30" s="4" t="s">
        <v>324</v>
      </c>
      <c r="M30" s="4" t="s">
        <v>324</v>
      </c>
    </row>
    <row r="31" spans="2:13" x14ac:dyDescent="0.3">
      <c r="F31" s="4" t="s">
        <v>324</v>
      </c>
      <c r="G31" s="4" t="s">
        <v>324</v>
      </c>
      <c r="H31" s="4" t="s">
        <v>324</v>
      </c>
      <c r="I31" s="4" t="s">
        <v>324</v>
      </c>
      <c r="J31" s="4" t="s">
        <v>324</v>
      </c>
      <c r="K31" s="4" t="s">
        <v>324</v>
      </c>
      <c r="M31" s="4" t="s">
        <v>324</v>
      </c>
    </row>
    <row r="32" spans="2:13" x14ac:dyDescent="0.3">
      <c r="F32" s="4" t="s">
        <v>324</v>
      </c>
      <c r="G32" s="4" t="s">
        <v>324</v>
      </c>
      <c r="H32" s="4" t="s">
        <v>324</v>
      </c>
      <c r="I32" s="4" t="s">
        <v>324</v>
      </c>
      <c r="J32" s="4" t="s">
        <v>324</v>
      </c>
      <c r="K32" s="4" t="s">
        <v>324</v>
      </c>
      <c r="M32" s="4" t="s">
        <v>324</v>
      </c>
    </row>
    <row r="33" spans="6:13" x14ac:dyDescent="0.3">
      <c r="F33" s="4" t="s">
        <v>324</v>
      </c>
      <c r="G33" s="4" t="s">
        <v>324</v>
      </c>
      <c r="H33" s="4" t="s">
        <v>324</v>
      </c>
      <c r="I33" s="4" t="s">
        <v>324</v>
      </c>
      <c r="J33" s="4" t="s">
        <v>324</v>
      </c>
      <c r="K33" s="4" t="s">
        <v>324</v>
      </c>
      <c r="M33" s="4" t="s">
        <v>324</v>
      </c>
    </row>
    <row r="34" spans="6:13" x14ac:dyDescent="0.3">
      <c r="F34" s="4" t="s">
        <v>324</v>
      </c>
      <c r="G34" s="4" t="s">
        <v>324</v>
      </c>
      <c r="H34" s="4" t="s">
        <v>324</v>
      </c>
      <c r="I34" s="4" t="s">
        <v>324</v>
      </c>
      <c r="J34" s="4" t="s">
        <v>324</v>
      </c>
      <c r="K34" s="4" t="s">
        <v>324</v>
      </c>
      <c r="M34" s="4" t="s">
        <v>324</v>
      </c>
    </row>
    <row r="35" spans="6:13" x14ac:dyDescent="0.3">
      <c r="F35" s="4" t="s">
        <v>324</v>
      </c>
      <c r="G35" s="4" t="s">
        <v>324</v>
      </c>
      <c r="H35" s="4" t="s">
        <v>324</v>
      </c>
      <c r="I35" s="4" t="s">
        <v>324</v>
      </c>
      <c r="J35" s="4" t="s">
        <v>324</v>
      </c>
      <c r="K35" s="4" t="s">
        <v>324</v>
      </c>
      <c r="M35" s="4" t="s">
        <v>324</v>
      </c>
    </row>
    <row r="36" spans="6:13" x14ac:dyDescent="0.3">
      <c r="F36" s="4" t="s">
        <v>324</v>
      </c>
      <c r="G36" s="4" t="s">
        <v>324</v>
      </c>
      <c r="H36" s="4" t="s">
        <v>324</v>
      </c>
      <c r="I36" s="4" t="s">
        <v>324</v>
      </c>
      <c r="J36" s="4" t="s">
        <v>324</v>
      </c>
      <c r="K36" s="4" t="s">
        <v>324</v>
      </c>
      <c r="M36" s="4" t="s">
        <v>324</v>
      </c>
    </row>
    <row r="37" spans="6:13" x14ac:dyDescent="0.3">
      <c r="F37" s="4" t="s">
        <v>324</v>
      </c>
      <c r="G37" s="4" t="s">
        <v>324</v>
      </c>
      <c r="H37" s="4" t="s">
        <v>324</v>
      </c>
      <c r="I37" s="4" t="s">
        <v>324</v>
      </c>
      <c r="J37" s="4" t="s">
        <v>324</v>
      </c>
      <c r="K37" s="4" t="s">
        <v>324</v>
      </c>
      <c r="M37" s="4" t="s">
        <v>324</v>
      </c>
    </row>
    <row r="38" spans="6:13" x14ac:dyDescent="0.3">
      <c r="F38" s="4" t="s">
        <v>324</v>
      </c>
      <c r="G38" s="4" t="s">
        <v>324</v>
      </c>
      <c r="H38" s="4" t="s">
        <v>324</v>
      </c>
      <c r="I38" s="4" t="s">
        <v>324</v>
      </c>
      <c r="J38" s="4" t="s">
        <v>324</v>
      </c>
      <c r="K38" s="4" t="s">
        <v>324</v>
      </c>
      <c r="M38" s="4" t="s">
        <v>324</v>
      </c>
    </row>
    <row r="39" spans="6:13" x14ac:dyDescent="0.3">
      <c r="F39" s="4" t="s">
        <v>324</v>
      </c>
      <c r="G39" s="4" t="s">
        <v>324</v>
      </c>
      <c r="H39" s="4" t="s">
        <v>324</v>
      </c>
      <c r="I39" s="4" t="s">
        <v>324</v>
      </c>
      <c r="J39" s="4" t="s">
        <v>324</v>
      </c>
      <c r="K39" s="4" t="s">
        <v>324</v>
      </c>
      <c r="M39" s="4" t="s">
        <v>324</v>
      </c>
    </row>
    <row r="40" spans="6:13" x14ac:dyDescent="0.3">
      <c r="F40" s="4" t="s">
        <v>324</v>
      </c>
      <c r="G40" s="4" t="s">
        <v>324</v>
      </c>
      <c r="H40" s="4" t="s">
        <v>324</v>
      </c>
      <c r="I40" s="4" t="s">
        <v>324</v>
      </c>
      <c r="J40" s="4" t="s">
        <v>324</v>
      </c>
      <c r="K40" s="4" t="s">
        <v>324</v>
      </c>
      <c r="M40" s="4" t="s">
        <v>324</v>
      </c>
    </row>
    <row r="41" spans="6:13" x14ac:dyDescent="0.3">
      <c r="F41" s="4" t="s">
        <v>324</v>
      </c>
      <c r="G41" s="4" t="s">
        <v>324</v>
      </c>
      <c r="H41" s="4" t="s">
        <v>324</v>
      </c>
      <c r="I41" s="4" t="s">
        <v>324</v>
      </c>
      <c r="J41" s="4" t="s">
        <v>324</v>
      </c>
      <c r="K41" s="4" t="s">
        <v>324</v>
      </c>
      <c r="M41" s="4" t="s">
        <v>324</v>
      </c>
    </row>
    <row r="42" spans="6:13" x14ac:dyDescent="0.3">
      <c r="F42" s="4" t="s">
        <v>324</v>
      </c>
      <c r="G42" s="4" t="s">
        <v>324</v>
      </c>
      <c r="H42" s="4" t="s">
        <v>324</v>
      </c>
      <c r="I42" s="4" t="s">
        <v>324</v>
      </c>
      <c r="J42" s="4" t="s">
        <v>324</v>
      </c>
      <c r="K42" s="4" t="s">
        <v>324</v>
      </c>
      <c r="M42" s="4" t="s">
        <v>324</v>
      </c>
    </row>
    <row r="43" spans="6:13" x14ac:dyDescent="0.3">
      <c r="F43" s="4" t="s">
        <v>324</v>
      </c>
      <c r="G43" s="4" t="s">
        <v>324</v>
      </c>
      <c r="H43" s="4" t="s">
        <v>324</v>
      </c>
      <c r="I43" s="4" t="s">
        <v>324</v>
      </c>
      <c r="J43" s="4" t="s">
        <v>324</v>
      </c>
      <c r="K43" s="4" t="s">
        <v>324</v>
      </c>
      <c r="M43" s="4" t="s">
        <v>324</v>
      </c>
    </row>
    <row r="44" spans="6:13" x14ac:dyDescent="0.3">
      <c r="F44" s="4" t="s">
        <v>324</v>
      </c>
      <c r="G44" s="4" t="s">
        <v>324</v>
      </c>
      <c r="H44" s="4" t="s">
        <v>324</v>
      </c>
      <c r="I44" s="4" t="s">
        <v>324</v>
      </c>
      <c r="J44" s="4" t="s">
        <v>324</v>
      </c>
      <c r="K44" s="4" t="s">
        <v>324</v>
      </c>
      <c r="M44" s="4" t="s">
        <v>324</v>
      </c>
    </row>
    <row r="45" spans="6:13" x14ac:dyDescent="0.3">
      <c r="F45" s="4" t="s">
        <v>324</v>
      </c>
      <c r="G45" s="4" t="s">
        <v>324</v>
      </c>
      <c r="H45" s="4" t="s">
        <v>324</v>
      </c>
      <c r="I45" s="4" t="s">
        <v>324</v>
      </c>
      <c r="J45" s="4" t="s">
        <v>324</v>
      </c>
      <c r="K45" s="4" t="s">
        <v>324</v>
      </c>
      <c r="M45" s="4" t="s">
        <v>324</v>
      </c>
    </row>
    <row r="46" spans="6:13" x14ac:dyDescent="0.3">
      <c r="F46" s="4" t="s">
        <v>324</v>
      </c>
      <c r="G46" s="4" t="s">
        <v>324</v>
      </c>
      <c r="H46" s="4" t="s">
        <v>324</v>
      </c>
      <c r="I46" s="4" t="s">
        <v>324</v>
      </c>
      <c r="J46" s="4" t="s">
        <v>324</v>
      </c>
      <c r="K46" s="4" t="s">
        <v>324</v>
      </c>
      <c r="M46" s="4" t="s">
        <v>324</v>
      </c>
    </row>
    <row r="47" spans="6:13" x14ac:dyDescent="0.3">
      <c r="F47" s="4" t="s">
        <v>324</v>
      </c>
      <c r="G47" s="4" t="s">
        <v>324</v>
      </c>
      <c r="H47" s="4" t="s">
        <v>324</v>
      </c>
      <c r="I47" s="4" t="s">
        <v>324</v>
      </c>
      <c r="J47" s="4" t="s">
        <v>324</v>
      </c>
      <c r="K47" s="4" t="s">
        <v>324</v>
      </c>
      <c r="M47" s="4" t="s">
        <v>324</v>
      </c>
    </row>
    <row r="48" spans="6:13" x14ac:dyDescent="0.3">
      <c r="F48" s="4" t="s">
        <v>324</v>
      </c>
      <c r="G48" s="4" t="s">
        <v>324</v>
      </c>
      <c r="H48" s="4" t="s">
        <v>324</v>
      </c>
      <c r="I48" s="4" t="s">
        <v>324</v>
      </c>
      <c r="J48" s="4" t="s">
        <v>324</v>
      </c>
      <c r="K48" s="4" t="s">
        <v>324</v>
      </c>
      <c r="M48" s="4" t="s">
        <v>324</v>
      </c>
    </row>
    <row r="49" spans="6:13" x14ac:dyDescent="0.3">
      <c r="F49" s="4" t="s">
        <v>324</v>
      </c>
      <c r="G49" s="4" t="s">
        <v>324</v>
      </c>
      <c r="H49" s="4" t="s">
        <v>324</v>
      </c>
      <c r="I49" s="4" t="s">
        <v>324</v>
      </c>
      <c r="J49" s="4" t="s">
        <v>324</v>
      </c>
      <c r="K49" s="4" t="s">
        <v>324</v>
      </c>
      <c r="M49" s="4" t="s">
        <v>324</v>
      </c>
    </row>
    <row r="50" spans="6:13" x14ac:dyDescent="0.3">
      <c r="F50" s="4" t="s">
        <v>324</v>
      </c>
      <c r="G50" s="4" t="s">
        <v>324</v>
      </c>
      <c r="H50" s="4" t="s">
        <v>324</v>
      </c>
      <c r="I50" s="4" t="s">
        <v>324</v>
      </c>
      <c r="J50" s="4" t="s">
        <v>324</v>
      </c>
      <c r="K50" s="4" t="s">
        <v>324</v>
      </c>
      <c r="M50" s="4" t="s">
        <v>324</v>
      </c>
    </row>
    <row r="51" spans="6:13" x14ac:dyDescent="0.3">
      <c r="F51" s="4" t="s">
        <v>324</v>
      </c>
      <c r="G51" s="4" t="s">
        <v>324</v>
      </c>
      <c r="H51" s="4" t="s">
        <v>324</v>
      </c>
      <c r="I51" s="4" t="s">
        <v>324</v>
      </c>
      <c r="J51" s="4" t="s">
        <v>324</v>
      </c>
      <c r="K51" s="4" t="s">
        <v>324</v>
      </c>
      <c r="M51" s="4" t="s">
        <v>324</v>
      </c>
    </row>
    <row r="52" spans="6:13" x14ac:dyDescent="0.3">
      <c r="F52" s="4" t="s">
        <v>324</v>
      </c>
      <c r="G52" s="4" t="s">
        <v>324</v>
      </c>
      <c r="H52" s="4" t="s">
        <v>324</v>
      </c>
      <c r="I52" s="4" t="s">
        <v>324</v>
      </c>
      <c r="J52" s="4" t="s">
        <v>324</v>
      </c>
      <c r="K52" s="4" t="s">
        <v>324</v>
      </c>
      <c r="M52" s="4" t="s">
        <v>324</v>
      </c>
    </row>
    <row r="53" spans="6:13" x14ac:dyDescent="0.3">
      <c r="F53" s="4" t="s">
        <v>324</v>
      </c>
      <c r="G53" s="4" t="s">
        <v>324</v>
      </c>
      <c r="H53" s="4" t="s">
        <v>324</v>
      </c>
      <c r="I53" s="4" t="s">
        <v>324</v>
      </c>
      <c r="J53" s="4" t="s">
        <v>324</v>
      </c>
      <c r="K53" s="4" t="s">
        <v>324</v>
      </c>
      <c r="M53" s="4" t="s">
        <v>324</v>
      </c>
    </row>
    <row r="54" spans="6:13" x14ac:dyDescent="0.3">
      <c r="F54" s="4" t="s">
        <v>324</v>
      </c>
      <c r="G54" s="4" t="s">
        <v>324</v>
      </c>
      <c r="H54" s="4" t="s">
        <v>324</v>
      </c>
      <c r="I54" s="4" t="s">
        <v>324</v>
      </c>
      <c r="J54" s="4" t="s">
        <v>324</v>
      </c>
      <c r="K54" s="4" t="s">
        <v>324</v>
      </c>
      <c r="M54" s="4" t="s">
        <v>324</v>
      </c>
    </row>
    <row r="55" spans="6:13" x14ac:dyDescent="0.3">
      <c r="F55" s="4" t="s">
        <v>324</v>
      </c>
      <c r="G55" s="4" t="s">
        <v>324</v>
      </c>
      <c r="H55" s="4" t="s">
        <v>324</v>
      </c>
      <c r="I55" s="4" t="s">
        <v>324</v>
      </c>
      <c r="J55" s="4" t="s">
        <v>324</v>
      </c>
      <c r="K55" s="4" t="s">
        <v>324</v>
      </c>
      <c r="M55" s="4" t="s">
        <v>324</v>
      </c>
    </row>
    <row r="56" spans="6:13" x14ac:dyDescent="0.3">
      <c r="F56" s="4" t="s">
        <v>324</v>
      </c>
      <c r="G56" s="4" t="s">
        <v>324</v>
      </c>
      <c r="H56" s="4" t="s">
        <v>324</v>
      </c>
      <c r="I56" s="4" t="s">
        <v>324</v>
      </c>
      <c r="J56" s="4" t="s">
        <v>324</v>
      </c>
      <c r="K56" s="4" t="s">
        <v>324</v>
      </c>
      <c r="M56" s="4" t="s">
        <v>324</v>
      </c>
    </row>
    <row r="57" spans="6:13" x14ac:dyDescent="0.3">
      <c r="F57" s="4" t="s">
        <v>324</v>
      </c>
      <c r="G57" s="4" t="s">
        <v>324</v>
      </c>
      <c r="H57" s="4" t="s">
        <v>324</v>
      </c>
      <c r="I57" s="4" t="s">
        <v>324</v>
      </c>
      <c r="J57" s="4" t="s">
        <v>324</v>
      </c>
      <c r="K57" s="4" t="s">
        <v>324</v>
      </c>
      <c r="M57" s="4" t="s">
        <v>324</v>
      </c>
    </row>
    <row r="58" spans="6:13" x14ac:dyDescent="0.3">
      <c r="F58" s="4" t="s">
        <v>324</v>
      </c>
      <c r="G58" s="4" t="s">
        <v>324</v>
      </c>
      <c r="H58" s="4" t="s">
        <v>324</v>
      </c>
      <c r="I58" s="4" t="s">
        <v>324</v>
      </c>
      <c r="J58" s="4" t="s">
        <v>324</v>
      </c>
      <c r="K58" s="4" t="s">
        <v>324</v>
      </c>
      <c r="M58" s="4" t="s">
        <v>324</v>
      </c>
    </row>
    <row r="59" spans="6:13" x14ac:dyDescent="0.3">
      <c r="F59" s="4" t="s">
        <v>324</v>
      </c>
      <c r="G59" s="4" t="s">
        <v>324</v>
      </c>
      <c r="H59" s="4" t="s">
        <v>324</v>
      </c>
      <c r="I59" s="4" t="s">
        <v>324</v>
      </c>
      <c r="J59" s="4" t="s">
        <v>324</v>
      </c>
      <c r="K59" s="4" t="s">
        <v>324</v>
      </c>
      <c r="M59" s="4" t="s">
        <v>324</v>
      </c>
    </row>
    <row r="60" spans="6:13" x14ac:dyDescent="0.3">
      <c r="F60" s="4" t="s">
        <v>324</v>
      </c>
      <c r="G60" s="4" t="s">
        <v>324</v>
      </c>
      <c r="H60" s="4" t="s">
        <v>324</v>
      </c>
      <c r="I60" s="4" t="s">
        <v>324</v>
      </c>
      <c r="J60" s="4" t="s">
        <v>324</v>
      </c>
      <c r="K60" s="4" t="s">
        <v>324</v>
      </c>
      <c r="M60" s="4" t="s">
        <v>324</v>
      </c>
    </row>
    <row r="61" spans="6:13" x14ac:dyDescent="0.3">
      <c r="F61" s="4" t="s">
        <v>324</v>
      </c>
      <c r="G61" s="4" t="s">
        <v>324</v>
      </c>
      <c r="H61" s="4" t="s">
        <v>324</v>
      </c>
      <c r="I61" s="4" t="s">
        <v>324</v>
      </c>
      <c r="J61" s="4" t="s">
        <v>324</v>
      </c>
      <c r="K61" s="4" t="s">
        <v>324</v>
      </c>
      <c r="M61" s="4" t="s">
        <v>324</v>
      </c>
    </row>
    <row r="62" spans="6:13" x14ac:dyDescent="0.3">
      <c r="F62" s="4" t="s">
        <v>324</v>
      </c>
      <c r="G62" s="4" t="s">
        <v>324</v>
      </c>
      <c r="H62" s="4" t="s">
        <v>324</v>
      </c>
      <c r="I62" s="4" t="s">
        <v>324</v>
      </c>
      <c r="J62" s="4" t="s">
        <v>324</v>
      </c>
      <c r="K62" s="4" t="s">
        <v>324</v>
      </c>
      <c r="M62" s="4" t="s">
        <v>324</v>
      </c>
    </row>
    <row r="63" spans="6:13" x14ac:dyDescent="0.3">
      <c r="F63" s="4" t="s">
        <v>324</v>
      </c>
      <c r="G63" s="4" t="s">
        <v>324</v>
      </c>
      <c r="H63" s="4" t="s">
        <v>324</v>
      </c>
      <c r="I63" s="4" t="s">
        <v>324</v>
      </c>
      <c r="J63" s="4" t="s">
        <v>324</v>
      </c>
      <c r="K63" s="4" t="s">
        <v>324</v>
      </c>
      <c r="M63" s="4" t="s">
        <v>324</v>
      </c>
    </row>
    <row r="64" spans="6:13" x14ac:dyDescent="0.3">
      <c r="F64" s="4" t="s">
        <v>324</v>
      </c>
      <c r="G64" s="4" t="s">
        <v>324</v>
      </c>
      <c r="H64" s="4" t="s">
        <v>324</v>
      </c>
      <c r="I64" s="4" t="s">
        <v>324</v>
      </c>
      <c r="J64" s="4" t="s">
        <v>324</v>
      </c>
      <c r="K64" s="4" t="s">
        <v>324</v>
      </c>
      <c r="M64" s="4" t="s">
        <v>324</v>
      </c>
    </row>
    <row r="65" spans="6:13" x14ac:dyDescent="0.3">
      <c r="F65" s="4" t="s">
        <v>324</v>
      </c>
      <c r="G65" s="4" t="s">
        <v>324</v>
      </c>
      <c r="H65" s="4" t="s">
        <v>324</v>
      </c>
      <c r="I65" s="4" t="s">
        <v>324</v>
      </c>
      <c r="J65" s="4" t="s">
        <v>324</v>
      </c>
      <c r="K65" s="4" t="s">
        <v>324</v>
      </c>
      <c r="M65" s="4" t="s">
        <v>324</v>
      </c>
    </row>
    <row r="66" spans="6:13" x14ac:dyDescent="0.3">
      <c r="F66" s="4" t="s">
        <v>324</v>
      </c>
      <c r="G66" s="4" t="s">
        <v>324</v>
      </c>
      <c r="H66" s="4" t="s">
        <v>324</v>
      </c>
      <c r="I66" s="4" t="s">
        <v>324</v>
      </c>
      <c r="J66" s="4" t="s">
        <v>324</v>
      </c>
      <c r="K66" s="4" t="s">
        <v>324</v>
      </c>
      <c r="M66" s="4" t="s">
        <v>324</v>
      </c>
    </row>
    <row r="67" spans="6:13" x14ac:dyDescent="0.3">
      <c r="F67" s="4" t="s">
        <v>324</v>
      </c>
      <c r="G67" s="4" t="s">
        <v>324</v>
      </c>
      <c r="H67" s="4" t="s">
        <v>324</v>
      </c>
      <c r="I67" s="4" t="s">
        <v>324</v>
      </c>
      <c r="J67" s="4" t="s">
        <v>324</v>
      </c>
      <c r="K67" s="4" t="s">
        <v>324</v>
      </c>
      <c r="M67" s="4" t="s">
        <v>324</v>
      </c>
    </row>
    <row r="68" spans="6:13" x14ac:dyDescent="0.3">
      <c r="F68" s="4" t="s">
        <v>324</v>
      </c>
      <c r="G68" s="4" t="s">
        <v>324</v>
      </c>
      <c r="H68" s="4" t="s">
        <v>324</v>
      </c>
      <c r="I68" s="4" t="s">
        <v>324</v>
      </c>
      <c r="J68" s="4" t="s">
        <v>324</v>
      </c>
      <c r="K68" s="4" t="s">
        <v>324</v>
      </c>
      <c r="M68" s="4" t="s">
        <v>324</v>
      </c>
    </row>
    <row r="69" spans="6:13" x14ac:dyDescent="0.3">
      <c r="F69" s="4" t="s">
        <v>324</v>
      </c>
      <c r="G69" s="4" t="s">
        <v>324</v>
      </c>
      <c r="H69" s="4" t="s">
        <v>324</v>
      </c>
      <c r="I69" s="4" t="s">
        <v>324</v>
      </c>
      <c r="J69" s="4" t="s">
        <v>324</v>
      </c>
      <c r="K69" s="4" t="s">
        <v>324</v>
      </c>
      <c r="M69" s="4" t="s">
        <v>324</v>
      </c>
    </row>
    <row r="70" spans="6:13" x14ac:dyDescent="0.3">
      <c r="F70" s="4" t="s">
        <v>324</v>
      </c>
      <c r="G70" s="4" t="s">
        <v>324</v>
      </c>
      <c r="H70" s="4" t="s">
        <v>324</v>
      </c>
      <c r="I70" s="4" t="s">
        <v>324</v>
      </c>
      <c r="J70" s="4" t="s">
        <v>324</v>
      </c>
      <c r="K70" s="4" t="s">
        <v>324</v>
      </c>
      <c r="M70" s="4" t="s">
        <v>324</v>
      </c>
    </row>
    <row r="71" spans="6:13" x14ac:dyDescent="0.3">
      <c r="F71" s="4" t="s">
        <v>324</v>
      </c>
      <c r="G71" s="4" t="s">
        <v>324</v>
      </c>
      <c r="H71" s="4" t="s">
        <v>324</v>
      </c>
      <c r="I71" s="4" t="s">
        <v>324</v>
      </c>
      <c r="J71" s="4" t="s">
        <v>324</v>
      </c>
      <c r="K71" s="4" t="s">
        <v>324</v>
      </c>
      <c r="M71" s="4" t="s">
        <v>324</v>
      </c>
    </row>
    <row r="72" spans="6:13" x14ac:dyDescent="0.3">
      <c r="F72" s="4" t="s">
        <v>324</v>
      </c>
      <c r="G72" s="4" t="s">
        <v>324</v>
      </c>
      <c r="H72" s="4" t="s">
        <v>324</v>
      </c>
      <c r="I72" s="4" t="s">
        <v>324</v>
      </c>
      <c r="J72" s="4" t="s">
        <v>324</v>
      </c>
      <c r="K72" s="4" t="s">
        <v>324</v>
      </c>
      <c r="M72" s="4" t="s">
        <v>324</v>
      </c>
    </row>
    <row r="73" spans="6:13" x14ac:dyDescent="0.3">
      <c r="F73" s="4" t="s">
        <v>324</v>
      </c>
      <c r="G73" s="4" t="s">
        <v>324</v>
      </c>
      <c r="H73" s="4" t="s">
        <v>324</v>
      </c>
      <c r="I73" s="4" t="s">
        <v>324</v>
      </c>
      <c r="J73" s="4" t="s">
        <v>324</v>
      </c>
      <c r="K73" s="4" t="s">
        <v>324</v>
      </c>
      <c r="M73" s="4" t="s">
        <v>324</v>
      </c>
    </row>
    <row r="74" spans="6:13" x14ac:dyDescent="0.3">
      <c r="F74" s="4" t="s">
        <v>324</v>
      </c>
      <c r="G74" s="4" t="s">
        <v>324</v>
      </c>
      <c r="H74" s="4" t="s">
        <v>324</v>
      </c>
      <c r="I74" s="4" t="s">
        <v>324</v>
      </c>
      <c r="J74" s="4" t="s">
        <v>324</v>
      </c>
      <c r="K74" s="4" t="s">
        <v>324</v>
      </c>
      <c r="M74" s="4" t="s">
        <v>324</v>
      </c>
    </row>
    <row r="75" spans="6:13" x14ac:dyDescent="0.3">
      <c r="F75" s="4" t="s">
        <v>324</v>
      </c>
      <c r="G75" s="4" t="s">
        <v>324</v>
      </c>
      <c r="H75" s="4" t="s">
        <v>324</v>
      </c>
      <c r="I75" s="4" t="s">
        <v>324</v>
      </c>
      <c r="J75" s="4" t="s">
        <v>324</v>
      </c>
      <c r="K75" s="4" t="s">
        <v>324</v>
      </c>
      <c r="M75" s="4" t="s">
        <v>324</v>
      </c>
    </row>
    <row r="76" spans="6:13" x14ac:dyDescent="0.3">
      <c r="F76" s="4" t="s">
        <v>324</v>
      </c>
      <c r="G76" s="4" t="s">
        <v>324</v>
      </c>
      <c r="H76" s="4" t="s">
        <v>324</v>
      </c>
      <c r="I76" s="4" t="s">
        <v>324</v>
      </c>
      <c r="J76" s="4" t="s">
        <v>324</v>
      </c>
      <c r="K76" s="4" t="s">
        <v>324</v>
      </c>
      <c r="M76" s="4" t="s">
        <v>324</v>
      </c>
    </row>
    <row r="77" spans="6:13" x14ac:dyDescent="0.3">
      <c r="F77" s="4" t="s">
        <v>324</v>
      </c>
      <c r="G77" s="4" t="s">
        <v>324</v>
      </c>
      <c r="H77" s="4" t="s">
        <v>324</v>
      </c>
      <c r="I77" s="4" t="s">
        <v>324</v>
      </c>
      <c r="J77" s="4" t="s">
        <v>324</v>
      </c>
      <c r="K77" s="4" t="s">
        <v>324</v>
      </c>
      <c r="M77" s="4" t="s">
        <v>324</v>
      </c>
    </row>
    <row r="78" spans="6:13" x14ac:dyDescent="0.3">
      <c r="F78" s="4" t="s">
        <v>324</v>
      </c>
      <c r="G78" s="4" t="s">
        <v>324</v>
      </c>
      <c r="H78" s="4" t="s">
        <v>324</v>
      </c>
      <c r="I78" s="4" t="s">
        <v>324</v>
      </c>
      <c r="J78" s="4" t="s">
        <v>324</v>
      </c>
      <c r="K78" s="4" t="s">
        <v>324</v>
      </c>
      <c r="M78" s="4" t="s">
        <v>324</v>
      </c>
    </row>
    <row r="79" spans="6:13" x14ac:dyDescent="0.3">
      <c r="F79" s="4" t="s">
        <v>324</v>
      </c>
      <c r="G79" s="4" t="s">
        <v>324</v>
      </c>
      <c r="H79" s="4" t="s">
        <v>324</v>
      </c>
      <c r="I79" s="4" t="s">
        <v>324</v>
      </c>
      <c r="J79" s="4" t="s">
        <v>324</v>
      </c>
      <c r="K79" s="4" t="s">
        <v>324</v>
      </c>
      <c r="M79" s="4" t="s">
        <v>324</v>
      </c>
    </row>
    <row r="80" spans="6:13" x14ac:dyDescent="0.3">
      <c r="F80" s="4" t="s">
        <v>324</v>
      </c>
      <c r="G80" s="4" t="s">
        <v>324</v>
      </c>
      <c r="H80" s="4" t="s">
        <v>324</v>
      </c>
      <c r="I80" s="4" t="s">
        <v>324</v>
      </c>
      <c r="J80" s="4" t="s">
        <v>324</v>
      </c>
      <c r="K80" s="4" t="s">
        <v>324</v>
      </c>
      <c r="M80" s="4" t="s">
        <v>324</v>
      </c>
    </row>
    <row r="81" spans="6:13" x14ac:dyDescent="0.3">
      <c r="F81" s="4" t="s">
        <v>324</v>
      </c>
      <c r="G81" s="4" t="s">
        <v>324</v>
      </c>
      <c r="H81" s="4" t="s">
        <v>324</v>
      </c>
      <c r="I81" s="4" t="s">
        <v>324</v>
      </c>
      <c r="J81" s="4" t="s">
        <v>324</v>
      </c>
      <c r="K81" s="4" t="s">
        <v>324</v>
      </c>
      <c r="M81" s="4" t="s">
        <v>324</v>
      </c>
    </row>
    <row r="82" spans="6:13" x14ac:dyDescent="0.3">
      <c r="F82" s="4" t="s">
        <v>324</v>
      </c>
      <c r="G82" s="4" t="s">
        <v>324</v>
      </c>
      <c r="H82" s="4" t="s">
        <v>324</v>
      </c>
      <c r="I82" s="4" t="s">
        <v>324</v>
      </c>
      <c r="J82" s="4" t="s">
        <v>324</v>
      </c>
      <c r="K82" s="4" t="s">
        <v>324</v>
      </c>
      <c r="M82" s="4" t="s">
        <v>324</v>
      </c>
    </row>
    <row r="83" spans="6:13" x14ac:dyDescent="0.3">
      <c r="F83" s="4" t="s">
        <v>324</v>
      </c>
      <c r="G83" s="4" t="s">
        <v>324</v>
      </c>
      <c r="H83" s="4" t="s">
        <v>324</v>
      </c>
      <c r="I83" s="4" t="s">
        <v>324</v>
      </c>
      <c r="J83" s="4" t="s">
        <v>324</v>
      </c>
      <c r="K83" s="4" t="s">
        <v>324</v>
      </c>
      <c r="M83" s="4" t="s">
        <v>324</v>
      </c>
    </row>
    <row r="84" spans="6:13" x14ac:dyDescent="0.3">
      <c r="F84" s="4" t="s">
        <v>324</v>
      </c>
      <c r="G84" s="4" t="s">
        <v>324</v>
      </c>
      <c r="H84" s="4" t="s">
        <v>324</v>
      </c>
      <c r="I84" s="4" t="s">
        <v>324</v>
      </c>
      <c r="J84" s="4" t="s">
        <v>324</v>
      </c>
      <c r="K84" s="4" t="s">
        <v>324</v>
      </c>
      <c r="M84" s="4" t="s">
        <v>324</v>
      </c>
    </row>
    <row r="85" spans="6:13" x14ac:dyDescent="0.3">
      <c r="F85" s="4" t="s">
        <v>324</v>
      </c>
      <c r="G85" s="4" t="s">
        <v>324</v>
      </c>
      <c r="H85" s="4" t="s">
        <v>324</v>
      </c>
      <c r="I85" s="4" t="s">
        <v>324</v>
      </c>
      <c r="J85" s="4" t="s">
        <v>324</v>
      </c>
      <c r="K85" s="4" t="s">
        <v>324</v>
      </c>
      <c r="M85" s="4" t="s">
        <v>324</v>
      </c>
    </row>
    <row r="86" spans="6:13" x14ac:dyDescent="0.3">
      <c r="F86" s="4" t="s">
        <v>324</v>
      </c>
      <c r="G86" s="4" t="s">
        <v>324</v>
      </c>
      <c r="H86" s="4" t="s">
        <v>324</v>
      </c>
      <c r="I86" s="4" t="s">
        <v>324</v>
      </c>
      <c r="J86" s="4" t="s">
        <v>324</v>
      </c>
      <c r="K86" s="4" t="s">
        <v>324</v>
      </c>
      <c r="M86" s="4" t="s">
        <v>324</v>
      </c>
    </row>
    <row r="87" spans="6:13" x14ac:dyDescent="0.3">
      <c r="F87" s="4" t="s">
        <v>324</v>
      </c>
      <c r="G87" s="4" t="s">
        <v>324</v>
      </c>
      <c r="H87" s="4" t="s">
        <v>324</v>
      </c>
      <c r="I87" s="4" t="s">
        <v>324</v>
      </c>
      <c r="J87" s="4" t="s">
        <v>324</v>
      </c>
      <c r="K87" s="4" t="s">
        <v>324</v>
      </c>
      <c r="M87" s="4" t="s">
        <v>324</v>
      </c>
    </row>
    <row r="88" spans="6:13" x14ac:dyDescent="0.3">
      <c r="F88" s="4" t="s">
        <v>324</v>
      </c>
      <c r="G88" s="4" t="s">
        <v>324</v>
      </c>
      <c r="H88" s="4" t="s">
        <v>324</v>
      </c>
      <c r="I88" s="4" t="s">
        <v>324</v>
      </c>
      <c r="J88" s="4" t="s">
        <v>324</v>
      </c>
      <c r="K88" s="4" t="s">
        <v>324</v>
      </c>
      <c r="M88" s="4" t="s">
        <v>324</v>
      </c>
    </row>
    <row r="89" spans="6:13" x14ac:dyDescent="0.3">
      <c r="F89" s="4" t="s">
        <v>324</v>
      </c>
      <c r="G89" s="4" t="s">
        <v>324</v>
      </c>
      <c r="H89" s="4" t="s">
        <v>324</v>
      </c>
      <c r="I89" s="4" t="s">
        <v>324</v>
      </c>
      <c r="J89" s="4" t="s">
        <v>324</v>
      </c>
      <c r="K89" s="4" t="s">
        <v>324</v>
      </c>
      <c r="M89" s="4" t="s">
        <v>324</v>
      </c>
    </row>
    <row r="90" spans="6:13" x14ac:dyDescent="0.3">
      <c r="F90" s="4" t="s">
        <v>324</v>
      </c>
      <c r="G90" s="4" t="s">
        <v>324</v>
      </c>
      <c r="H90" s="4" t="s">
        <v>324</v>
      </c>
      <c r="I90" s="4" t="s">
        <v>324</v>
      </c>
      <c r="J90" s="4" t="s">
        <v>324</v>
      </c>
      <c r="K90" s="4" t="s">
        <v>324</v>
      </c>
      <c r="M90" s="4" t="s">
        <v>324</v>
      </c>
    </row>
    <row r="91" spans="6:13" x14ac:dyDescent="0.3">
      <c r="F91" s="4" t="s">
        <v>324</v>
      </c>
      <c r="G91" s="4" t="s">
        <v>324</v>
      </c>
      <c r="H91" s="4" t="s">
        <v>324</v>
      </c>
      <c r="I91" s="4" t="s">
        <v>324</v>
      </c>
      <c r="J91" s="4" t="s">
        <v>324</v>
      </c>
      <c r="K91" s="4" t="s">
        <v>324</v>
      </c>
      <c r="M91" s="4" t="s">
        <v>324</v>
      </c>
    </row>
    <row r="92" spans="6:13" x14ac:dyDescent="0.3">
      <c r="F92" s="4" t="s">
        <v>324</v>
      </c>
      <c r="G92" s="4" t="s">
        <v>324</v>
      </c>
      <c r="H92" s="4" t="s">
        <v>324</v>
      </c>
      <c r="I92" s="4" t="s">
        <v>324</v>
      </c>
      <c r="J92" s="4" t="s">
        <v>324</v>
      </c>
      <c r="K92" s="4" t="s">
        <v>324</v>
      </c>
      <c r="M92" s="4" t="s">
        <v>324</v>
      </c>
    </row>
    <row r="93" spans="6:13" x14ac:dyDescent="0.3">
      <c r="F93" s="4" t="s">
        <v>324</v>
      </c>
      <c r="G93" s="4" t="s">
        <v>324</v>
      </c>
      <c r="H93" s="4" t="s">
        <v>324</v>
      </c>
      <c r="I93" s="4" t="s">
        <v>324</v>
      </c>
      <c r="J93" s="4" t="s">
        <v>324</v>
      </c>
      <c r="K93" s="4" t="s">
        <v>324</v>
      </c>
      <c r="M93" s="4" t="s">
        <v>324</v>
      </c>
    </row>
    <row r="94" spans="6:13" x14ac:dyDescent="0.3">
      <c r="F94" s="4" t="s">
        <v>324</v>
      </c>
      <c r="G94" s="4" t="s">
        <v>324</v>
      </c>
      <c r="H94" s="4" t="s">
        <v>324</v>
      </c>
      <c r="I94" s="4" t="s">
        <v>324</v>
      </c>
      <c r="J94" s="4" t="s">
        <v>324</v>
      </c>
      <c r="K94" s="4" t="s">
        <v>324</v>
      </c>
      <c r="M94" s="4" t="s">
        <v>324</v>
      </c>
    </row>
    <row r="95" spans="6:13" x14ac:dyDescent="0.3">
      <c r="M95" s="4" t="s">
        <v>324</v>
      </c>
    </row>
    <row r="96" spans="6:13" x14ac:dyDescent="0.3">
      <c r="M96" s="4" t="s">
        <v>324</v>
      </c>
    </row>
    <row r="97" spans="13:13" x14ac:dyDescent="0.3">
      <c r="M97" s="4" t="s">
        <v>324</v>
      </c>
    </row>
    <row r="98" spans="13:13" x14ac:dyDescent="0.3">
      <c r="M98" s="4" t="s">
        <v>324</v>
      </c>
    </row>
    <row r="99" spans="13:13" x14ac:dyDescent="0.3">
      <c r="M99" s="4" t="s">
        <v>324</v>
      </c>
    </row>
    <row r="100" spans="13:13" x14ac:dyDescent="0.3">
      <c r="M100" s="4" t="s">
        <v>324</v>
      </c>
    </row>
    <row r="101" spans="13:13" x14ac:dyDescent="0.3">
      <c r="M101" s="4" t="s">
        <v>324</v>
      </c>
    </row>
    <row r="102" spans="13:13" x14ac:dyDescent="0.3">
      <c r="M102" s="4" t="s">
        <v>324</v>
      </c>
    </row>
    <row r="103" spans="13:13" x14ac:dyDescent="0.3">
      <c r="M103" s="4" t="s">
        <v>324</v>
      </c>
    </row>
    <row r="104" spans="13:13" x14ac:dyDescent="0.3">
      <c r="M104" s="4" t="s">
        <v>324</v>
      </c>
    </row>
    <row r="105" spans="13:13" x14ac:dyDescent="0.3">
      <c r="M105" s="4" t="s">
        <v>324</v>
      </c>
    </row>
    <row r="106" spans="13:13" x14ac:dyDescent="0.3">
      <c r="M106" s="4" t="s">
        <v>324</v>
      </c>
    </row>
    <row r="107" spans="13:13" x14ac:dyDescent="0.3">
      <c r="M107" s="4" t="s">
        <v>324</v>
      </c>
    </row>
    <row r="108" spans="13:13" x14ac:dyDescent="0.3">
      <c r="M108" s="4" t="s">
        <v>324</v>
      </c>
    </row>
    <row r="109" spans="13:13" x14ac:dyDescent="0.3">
      <c r="M109" s="4" t="s">
        <v>324</v>
      </c>
    </row>
    <row r="110" spans="13:13" x14ac:dyDescent="0.3">
      <c r="M110" s="4" t="s">
        <v>324</v>
      </c>
    </row>
    <row r="111" spans="13:13" x14ac:dyDescent="0.3">
      <c r="M111" s="4" t="s">
        <v>324</v>
      </c>
    </row>
    <row r="112" spans="13:13" x14ac:dyDescent="0.3">
      <c r="M112" s="4" t="s">
        <v>324</v>
      </c>
    </row>
    <row r="113" spans="13:13" x14ac:dyDescent="0.3">
      <c r="M113" s="4" t="s">
        <v>324</v>
      </c>
    </row>
    <row r="114" spans="13:13" x14ac:dyDescent="0.3">
      <c r="M114" s="4" t="s">
        <v>324</v>
      </c>
    </row>
    <row r="115" spans="13:13" x14ac:dyDescent="0.3">
      <c r="M115" s="4" t="s">
        <v>324</v>
      </c>
    </row>
    <row r="116" spans="13:13" x14ac:dyDescent="0.3">
      <c r="M116" s="4" t="s">
        <v>324</v>
      </c>
    </row>
    <row r="117" spans="13:13" x14ac:dyDescent="0.3">
      <c r="M117" s="4" t="s">
        <v>324</v>
      </c>
    </row>
    <row r="118" spans="13:13" x14ac:dyDescent="0.3">
      <c r="M118" s="4" t="s">
        <v>324</v>
      </c>
    </row>
    <row r="119" spans="13:13" x14ac:dyDescent="0.3">
      <c r="M119" s="4" t="s">
        <v>324</v>
      </c>
    </row>
    <row r="120" spans="13:13" x14ac:dyDescent="0.3">
      <c r="M120" s="4" t="s">
        <v>324</v>
      </c>
    </row>
    <row r="121" spans="13:13" x14ac:dyDescent="0.3">
      <c r="M121" s="4" t="s">
        <v>324</v>
      </c>
    </row>
    <row r="122" spans="13:13" x14ac:dyDescent="0.3">
      <c r="M122" s="4" t="s">
        <v>324</v>
      </c>
    </row>
    <row r="123" spans="13:13" x14ac:dyDescent="0.3">
      <c r="M123" s="4" t="s">
        <v>324</v>
      </c>
    </row>
    <row r="124" spans="13:13" x14ac:dyDescent="0.3">
      <c r="M124" s="4" t="s">
        <v>324</v>
      </c>
    </row>
    <row r="125" spans="13:13" x14ac:dyDescent="0.3">
      <c r="M125" s="4" t="s">
        <v>324</v>
      </c>
    </row>
    <row r="126" spans="13:13" x14ac:dyDescent="0.3">
      <c r="M126" s="4" t="s">
        <v>324</v>
      </c>
    </row>
    <row r="127" spans="13:13" x14ac:dyDescent="0.3">
      <c r="M127" s="4" t="s">
        <v>324</v>
      </c>
    </row>
    <row r="128" spans="13:13" x14ac:dyDescent="0.3">
      <c r="M128" s="4" t="s">
        <v>324</v>
      </c>
    </row>
    <row r="129" spans="13:13" x14ac:dyDescent="0.3">
      <c r="M129" s="4" t="s">
        <v>324</v>
      </c>
    </row>
    <row r="130" spans="13:13" x14ac:dyDescent="0.3">
      <c r="M130" s="4" t="s">
        <v>324</v>
      </c>
    </row>
    <row r="131" spans="13:13" x14ac:dyDescent="0.3">
      <c r="M131" s="4" t="s">
        <v>324</v>
      </c>
    </row>
    <row r="132" spans="13:13" x14ac:dyDescent="0.3">
      <c r="M132" s="4" t="s">
        <v>324</v>
      </c>
    </row>
    <row r="133" spans="13:13" x14ac:dyDescent="0.3">
      <c r="M133" s="4" t="s">
        <v>324</v>
      </c>
    </row>
    <row r="134" spans="13:13" x14ac:dyDescent="0.3">
      <c r="M134" s="4" t="s">
        <v>324</v>
      </c>
    </row>
    <row r="135" spans="13:13" x14ac:dyDescent="0.3">
      <c r="M135" s="4" t="s">
        <v>324</v>
      </c>
    </row>
    <row r="136" spans="13:13" x14ac:dyDescent="0.3">
      <c r="M136" s="4" t="s">
        <v>324</v>
      </c>
    </row>
    <row r="137" spans="13:13" x14ac:dyDescent="0.3">
      <c r="M137" s="4" t="s">
        <v>324</v>
      </c>
    </row>
    <row r="138" spans="13:13" x14ac:dyDescent="0.3">
      <c r="M138" s="4" t="s">
        <v>324</v>
      </c>
    </row>
    <row r="139" spans="13:13" x14ac:dyDescent="0.3">
      <c r="M139" s="4" t="s">
        <v>324</v>
      </c>
    </row>
    <row r="140" spans="13:13" x14ac:dyDescent="0.3">
      <c r="M140" s="4" t="s">
        <v>324</v>
      </c>
    </row>
    <row r="141" spans="13:13" x14ac:dyDescent="0.3">
      <c r="M141" s="4" t="s">
        <v>324</v>
      </c>
    </row>
    <row r="142" spans="13:13" x14ac:dyDescent="0.3">
      <c r="M142" s="4" t="s">
        <v>324</v>
      </c>
    </row>
    <row r="143" spans="13:13" x14ac:dyDescent="0.3">
      <c r="M143" s="4" t="s">
        <v>324</v>
      </c>
    </row>
    <row r="144" spans="13:13" x14ac:dyDescent="0.3">
      <c r="M144" s="4" t="s">
        <v>324</v>
      </c>
    </row>
    <row r="145" spans="13:13" x14ac:dyDescent="0.3">
      <c r="M145" s="4" t="s">
        <v>324</v>
      </c>
    </row>
    <row r="146" spans="13:13" x14ac:dyDescent="0.3">
      <c r="M146" s="4" t="s">
        <v>324</v>
      </c>
    </row>
    <row r="147" spans="13:13" x14ac:dyDescent="0.3">
      <c r="M147" s="4" t="s">
        <v>324</v>
      </c>
    </row>
    <row r="148" spans="13:13" x14ac:dyDescent="0.3">
      <c r="M148" s="4" t="s">
        <v>324</v>
      </c>
    </row>
    <row r="149" spans="13:13" x14ac:dyDescent="0.3">
      <c r="M149" s="4" t="s">
        <v>324</v>
      </c>
    </row>
    <row r="150" spans="13:13" x14ac:dyDescent="0.3">
      <c r="M150" s="4" t="s">
        <v>324</v>
      </c>
    </row>
    <row r="151" spans="13:13" x14ac:dyDescent="0.3">
      <c r="M151" s="4" t="s">
        <v>324</v>
      </c>
    </row>
    <row r="152" spans="13:13" x14ac:dyDescent="0.3">
      <c r="M152" s="4" t="s">
        <v>324</v>
      </c>
    </row>
    <row r="153" spans="13:13" x14ac:dyDescent="0.3">
      <c r="M153" s="4" t="s">
        <v>324</v>
      </c>
    </row>
    <row r="154" spans="13:13" x14ac:dyDescent="0.3">
      <c r="M154" s="4" t="s">
        <v>324</v>
      </c>
    </row>
    <row r="155" spans="13:13" x14ac:dyDescent="0.3">
      <c r="M155" s="4" t="s">
        <v>324</v>
      </c>
    </row>
    <row r="156" spans="13:13" x14ac:dyDescent="0.3">
      <c r="M156" s="4" t="s">
        <v>324</v>
      </c>
    </row>
    <row r="157" spans="13:13" x14ac:dyDescent="0.3">
      <c r="M157" s="4" t="s">
        <v>324</v>
      </c>
    </row>
    <row r="158" spans="13:13" x14ac:dyDescent="0.3">
      <c r="M158" s="4" t="s">
        <v>324</v>
      </c>
    </row>
    <row r="159" spans="13:13" x14ac:dyDescent="0.3">
      <c r="M159" s="4" t="s">
        <v>324</v>
      </c>
    </row>
    <row r="160" spans="13:13" x14ac:dyDescent="0.3">
      <c r="M160" s="4" t="s">
        <v>324</v>
      </c>
    </row>
    <row r="161" spans="13:13" x14ac:dyDescent="0.3">
      <c r="M161" s="4" t="s">
        <v>324</v>
      </c>
    </row>
    <row r="162" spans="13:13" x14ac:dyDescent="0.3">
      <c r="M162" s="4" t="s">
        <v>324</v>
      </c>
    </row>
    <row r="163" spans="13:13" x14ac:dyDescent="0.3">
      <c r="M163" s="4" t="s">
        <v>324</v>
      </c>
    </row>
    <row r="164" spans="13:13" x14ac:dyDescent="0.3">
      <c r="M164" s="4" t="s">
        <v>324</v>
      </c>
    </row>
    <row r="165" spans="13:13" x14ac:dyDescent="0.3">
      <c r="M165" s="4" t="s">
        <v>324</v>
      </c>
    </row>
    <row r="166" spans="13:13" x14ac:dyDescent="0.3">
      <c r="M166" s="4" t="s">
        <v>324</v>
      </c>
    </row>
    <row r="167" spans="13:13" x14ac:dyDescent="0.3">
      <c r="M167" s="4" t="s">
        <v>324</v>
      </c>
    </row>
    <row r="168" spans="13:13" x14ac:dyDescent="0.3">
      <c r="M168" s="4" t="s">
        <v>324</v>
      </c>
    </row>
    <row r="169" spans="13:13" x14ac:dyDescent="0.3">
      <c r="M169" s="4" t="s">
        <v>324</v>
      </c>
    </row>
    <row r="170" spans="13:13" x14ac:dyDescent="0.3">
      <c r="M170" s="4" t="s">
        <v>324</v>
      </c>
    </row>
    <row r="171" spans="13:13" x14ac:dyDescent="0.3">
      <c r="M171" s="4" t="s">
        <v>324</v>
      </c>
    </row>
    <row r="172" spans="13:13" x14ac:dyDescent="0.3">
      <c r="M172" s="4" t="s">
        <v>324</v>
      </c>
    </row>
    <row r="173" spans="13:13" x14ac:dyDescent="0.3">
      <c r="M173" s="4" t="s">
        <v>324</v>
      </c>
    </row>
    <row r="174" spans="13:13" x14ac:dyDescent="0.3">
      <c r="M174" s="4" t="s">
        <v>324</v>
      </c>
    </row>
    <row r="175" spans="13:13" x14ac:dyDescent="0.3">
      <c r="M175" s="4" t="s">
        <v>324</v>
      </c>
    </row>
    <row r="176" spans="13:13" x14ac:dyDescent="0.3">
      <c r="M176" s="4" t="s">
        <v>324</v>
      </c>
    </row>
    <row r="177" spans="13:13" x14ac:dyDescent="0.3">
      <c r="M177" s="4" t="s">
        <v>324</v>
      </c>
    </row>
    <row r="178" spans="13:13" x14ac:dyDescent="0.3">
      <c r="M178" s="4" t="s">
        <v>324</v>
      </c>
    </row>
    <row r="179" spans="13:13" x14ac:dyDescent="0.3">
      <c r="M179" s="4" t="s">
        <v>324</v>
      </c>
    </row>
    <row r="180" spans="13:13" x14ac:dyDescent="0.3">
      <c r="M180" s="4" t="s">
        <v>324</v>
      </c>
    </row>
    <row r="181" spans="13:13" x14ac:dyDescent="0.3">
      <c r="M181" s="4" t="s">
        <v>324</v>
      </c>
    </row>
    <row r="182" spans="13:13" x14ac:dyDescent="0.3">
      <c r="M182" s="4" t="s">
        <v>324</v>
      </c>
    </row>
    <row r="183" spans="13:13" x14ac:dyDescent="0.3">
      <c r="M183" s="4" t="s">
        <v>324</v>
      </c>
    </row>
    <row r="184" spans="13:13" x14ac:dyDescent="0.3">
      <c r="M184" s="4" t="s">
        <v>324</v>
      </c>
    </row>
    <row r="185" spans="13:13" x14ac:dyDescent="0.3">
      <c r="M185" s="4" t="s">
        <v>324</v>
      </c>
    </row>
    <row r="186" spans="13:13" x14ac:dyDescent="0.3">
      <c r="M186" s="4" t="s">
        <v>324</v>
      </c>
    </row>
    <row r="187" spans="13:13" x14ac:dyDescent="0.3">
      <c r="M187" s="4" t="s">
        <v>324</v>
      </c>
    </row>
    <row r="188" spans="13:13" x14ac:dyDescent="0.3">
      <c r="M188" s="4" t="s">
        <v>324</v>
      </c>
    </row>
    <row r="189" spans="13:13" x14ac:dyDescent="0.3">
      <c r="M189" s="4" t="s">
        <v>324</v>
      </c>
    </row>
    <row r="190" spans="13:13" x14ac:dyDescent="0.3">
      <c r="M190" s="4" t="s">
        <v>324</v>
      </c>
    </row>
    <row r="191" spans="13:13" x14ac:dyDescent="0.3">
      <c r="M191" s="4" t="s">
        <v>324</v>
      </c>
    </row>
    <row r="192" spans="13:13" x14ac:dyDescent="0.3">
      <c r="M192" s="4" t="s">
        <v>324</v>
      </c>
    </row>
    <row r="193" spans="13:13" x14ac:dyDescent="0.3">
      <c r="M193" s="4" t="s">
        <v>324</v>
      </c>
    </row>
    <row r="194" spans="13:13" x14ac:dyDescent="0.3">
      <c r="M194" s="4" t="s">
        <v>324</v>
      </c>
    </row>
    <row r="195" spans="13:13" x14ac:dyDescent="0.3">
      <c r="M195" s="4" t="s">
        <v>324</v>
      </c>
    </row>
    <row r="196" spans="13:13" x14ac:dyDescent="0.3">
      <c r="M196" s="4" t="s">
        <v>324</v>
      </c>
    </row>
    <row r="197" spans="13:13" x14ac:dyDescent="0.3">
      <c r="M197" s="4" t="s">
        <v>324</v>
      </c>
    </row>
    <row r="198" spans="13:13" x14ac:dyDescent="0.3">
      <c r="M198" s="4" t="s">
        <v>324</v>
      </c>
    </row>
    <row r="199" spans="13:13" x14ac:dyDescent="0.3">
      <c r="M199" s="4" t="s">
        <v>324</v>
      </c>
    </row>
    <row r="200" spans="13:13" x14ac:dyDescent="0.3">
      <c r="M200" s="4" t="s">
        <v>324</v>
      </c>
    </row>
    <row r="201" spans="13:13" x14ac:dyDescent="0.3">
      <c r="M201" s="4" t="s">
        <v>324</v>
      </c>
    </row>
    <row r="202" spans="13:13" x14ac:dyDescent="0.3">
      <c r="M202" s="4" t="s">
        <v>324</v>
      </c>
    </row>
    <row r="203" spans="13:13" x14ac:dyDescent="0.3">
      <c r="M203" s="4" t="s">
        <v>324</v>
      </c>
    </row>
    <row r="204" spans="13:13" x14ac:dyDescent="0.3">
      <c r="M204" s="4" t="s">
        <v>324</v>
      </c>
    </row>
    <row r="205" spans="13:13" x14ac:dyDescent="0.3">
      <c r="M205" s="4" t="s">
        <v>324</v>
      </c>
    </row>
    <row r="206" spans="13:13" x14ac:dyDescent="0.3">
      <c r="M206" s="4" t="s">
        <v>324</v>
      </c>
    </row>
    <row r="207" spans="13:13" x14ac:dyDescent="0.3">
      <c r="M207" s="4" t="s">
        <v>324</v>
      </c>
    </row>
    <row r="208" spans="13:13" x14ac:dyDescent="0.3">
      <c r="M208" s="4" t="s">
        <v>324</v>
      </c>
    </row>
    <row r="209" spans="13:13" x14ac:dyDescent="0.3">
      <c r="M209" s="4" t="s">
        <v>324</v>
      </c>
    </row>
    <row r="210" spans="13:13" x14ac:dyDescent="0.3">
      <c r="M210" s="4" t="s">
        <v>324</v>
      </c>
    </row>
    <row r="211" spans="13:13" x14ac:dyDescent="0.3">
      <c r="M211" s="4" t="s">
        <v>324</v>
      </c>
    </row>
    <row r="212" spans="13:13" x14ac:dyDescent="0.3">
      <c r="M212" s="4" t="s">
        <v>324</v>
      </c>
    </row>
    <row r="213" spans="13:13" x14ac:dyDescent="0.3">
      <c r="M213" s="4" t="s">
        <v>324</v>
      </c>
    </row>
    <row r="214" spans="13:13" x14ac:dyDescent="0.3">
      <c r="M214" s="4" t="s">
        <v>324</v>
      </c>
    </row>
    <row r="215" spans="13:13" x14ac:dyDescent="0.3">
      <c r="M215" s="4" t="s">
        <v>324</v>
      </c>
    </row>
    <row r="216" spans="13:13" x14ac:dyDescent="0.3">
      <c r="M216" s="4" t="s">
        <v>324</v>
      </c>
    </row>
    <row r="217" spans="13:13" x14ac:dyDescent="0.3">
      <c r="M217" s="4" t="s">
        <v>324</v>
      </c>
    </row>
    <row r="218" spans="13:13" x14ac:dyDescent="0.3">
      <c r="M218" s="4" t="s">
        <v>324</v>
      </c>
    </row>
    <row r="219" spans="13:13" x14ac:dyDescent="0.3">
      <c r="M219" s="4" t="s">
        <v>324</v>
      </c>
    </row>
    <row r="220" spans="13:13" x14ac:dyDescent="0.3">
      <c r="M220" s="4" t="s">
        <v>324</v>
      </c>
    </row>
    <row r="221" spans="13:13" x14ac:dyDescent="0.3">
      <c r="M221" s="4" t="s">
        <v>324</v>
      </c>
    </row>
    <row r="222" spans="13:13" x14ac:dyDescent="0.3">
      <c r="M222" s="4" t="s">
        <v>324</v>
      </c>
    </row>
    <row r="223" spans="13:13" x14ac:dyDescent="0.3">
      <c r="M223" s="4" t="s">
        <v>324</v>
      </c>
    </row>
    <row r="224" spans="13:13" x14ac:dyDescent="0.3">
      <c r="M224" s="4" t="s">
        <v>324</v>
      </c>
    </row>
    <row r="225" spans="13:13" x14ac:dyDescent="0.3">
      <c r="M225" s="4" t="s">
        <v>324</v>
      </c>
    </row>
    <row r="226" spans="13:13" x14ac:dyDescent="0.3">
      <c r="M226" s="4" t="s">
        <v>324</v>
      </c>
    </row>
    <row r="227" spans="13:13" x14ac:dyDescent="0.3">
      <c r="M227" s="4" t="s">
        <v>324</v>
      </c>
    </row>
    <row r="228" spans="13:13" x14ac:dyDescent="0.3">
      <c r="M228" s="4" t="s">
        <v>324</v>
      </c>
    </row>
    <row r="229" spans="13:13" x14ac:dyDescent="0.3">
      <c r="M229" s="4" t="s">
        <v>324</v>
      </c>
    </row>
    <row r="230" spans="13:13" x14ac:dyDescent="0.3">
      <c r="M230" s="4" t="s">
        <v>324</v>
      </c>
    </row>
    <row r="231" spans="13:13" x14ac:dyDescent="0.3">
      <c r="M231" s="4" t="s">
        <v>324</v>
      </c>
    </row>
    <row r="232" spans="13:13" x14ac:dyDescent="0.3">
      <c r="M232" s="4" t="s">
        <v>324</v>
      </c>
    </row>
    <row r="233" spans="13:13" x14ac:dyDescent="0.3">
      <c r="M233" s="4" t="s">
        <v>324</v>
      </c>
    </row>
    <row r="234" spans="13:13" x14ac:dyDescent="0.3">
      <c r="M234" s="4" t="s">
        <v>324</v>
      </c>
    </row>
    <row r="235" spans="13:13" x14ac:dyDescent="0.3">
      <c r="M235" s="4" t="s">
        <v>324</v>
      </c>
    </row>
    <row r="236" spans="13:13" x14ac:dyDescent="0.3">
      <c r="M236" s="4" t="s">
        <v>324</v>
      </c>
    </row>
    <row r="237" spans="13:13" x14ac:dyDescent="0.3">
      <c r="M237" s="4" t="s">
        <v>324</v>
      </c>
    </row>
    <row r="238" spans="13:13" x14ac:dyDescent="0.3">
      <c r="M238" s="4" t="s">
        <v>324</v>
      </c>
    </row>
    <row r="239" spans="13:13" x14ac:dyDescent="0.3">
      <c r="M239" s="4" t="s">
        <v>324</v>
      </c>
    </row>
    <row r="240" spans="13:13" x14ac:dyDescent="0.3">
      <c r="M240" s="4" t="s">
        <v>324</v>
      </c>
    </row>
    <row r="241" spans="13:13" x14ac:dyDescent="0.3">
      <c r="M241" s="4" t="s">
        <v>324</v>
      </c>
    </row>
    <row r="242" spans="13:13" x14ac:dyDescent="0.3">
      <c r="M242" s="4" t="s">
        <v>324</v>
      </c>
    </row>
    <row r="243" spans="13:13" x14ac:dyDescent="0.3">
      <c r="M243" s="4" t="s">
        <v>324</v>
      </c>
    </row>
    <row r="244" spans="13:13" x14ac:dyDescent="0.3">
      <c r="M244" s="4" t="s">
        <v>324</v>
      </c>
    </row>
    <row r="245" spans="13:13" x14ac:dyDescent="0.3">
      <c r="M245" s="4" t="s">
        <v>324</v>
      </c>
    </row>
    <row r="246" spans="13:13" x14ac:dyDescent="0.3">
      <c r="M246" s="4" t="s">
        <v>324</v>
      </c>
    </row>
    <row r="247" spans="13:13" x14ac:dyDescent="0.3">
      <c r="M247" s="4" t="s">
        <v>324</v>
      </c>
    </row>
    <row r="248" spans="13:13" x14ac:dyDescent="0.3">
      <c r="M248" s="4" t="s">
        <v>324</v>
      </c>
    </row>
    <row r="249" spans="13:13" x14ac:dyDescent="0.3">
      <c r="M249" s="4" t="s">
        <v>324</v>
      </c>
    </row>
    <row r="250" spans="13:13" x14ac:dyDescent="0.3">
      <c r="M250" s="4" t="s">
        <v>324</v>
      </c>
    </row>
    <row r="251" spans="13:13" x14ac:dyDescent="0.3">
      <c r="M251" s="4" t="s">
        <v>324</v>
      </c>
    </row>
    <row r="252" spans="13:13" x14ac:dyDescent="0.3">
      <c r="M252" s="4" t="s">
        <v>324</v>
      </c>
    </row>
    <row r="253" spans="13:13" x14ac:dyDescent="0.3">
      <c r="M253" s="4" t="s">
        <v>324</v>
      </c>
    </row>
    <row r="254" spans="13:13" x14ac:dyDescent="0.3">
      <c r="M254" s="4" t="s">
        <v>324</v>
      </c>
    </row>
    <row r="255" spans="13:13" x14ac:dyDescent="0.3">
      <c r="M255" s="4" t="s">
        <v>324</v>
      </c>
    </row>
    <row r="256" spans="13:13" x14ac:dyDescent="0.3">
      <c r="M256" s="4" t="s">
        <v>324</v>
      </c>
    </row>
    <row r="257" spans="13:13" x14ac:dyDescent="0.3">
      <c r="M257" s="4" t="s">
        <v>324</v>
      </c>
    </row>
    <row r="258" spans="13:13" x14ac:dyDescent="0.3">
      <c r="M258" s="4" t="s">
        <v>324</v>
      </c>
    </row>
    <row r="259" spans="13:13" x14ac:dyDescent="0.3">
      <c r="M259" s="4" t="s">
        <v>324</v>
      </c>
    </row>
    <row r="260" spans="13:13" x14ac:dyDescent="0.3">
      <c r="M260" s="4" t="s">
        <v>324</v>
      </c>
    </row>
    <row r="261" spans="13:13" x14ac:dyDescent="0.3">
      <c r="M261" s="4" t="s">
        <v>324</v>
      </c>
    </row>
    <row r="262" spans="13:13" x14ac:dyDescent="0.3">
      <c r="M262" s="4" t="s">
        <v>324</v>
      </c>
    </row>
    <row r="263" spans="13:13" x14ac:dyDescent="0.3">
      <c r="M263" s="4" t="s">
        <v>324</v>
      </c>
    </row>
    <row r="264" spans="13:13" x14ac:dyDescent="0.3">
      <c r="M264" s="4" t="s">
        <v>324</v>
      </c>
    </row>
    <row r="265" spans="13:13" x14ac:dyDescent="0.3">
      <c r="M265" s="4" t="s">
        <v>324</v>
      </c>
    </row>
    <row r="266" spans="13:13" x14ac:dyDescent="0.3">
      <c r="M266" s="4" t="s">
        <v>324</v>
      </c>
    </row>
    <row r="267" spans="13:13" x14ac:dyDescent="0.3">
      <c r="M267" s="4" t="s">
        <v>324</v>
      </c>
    </row>
    <row r="268" spans="13:13" x14ac:dyDescent="0.3">
      <c r="M268" s="4" t="s">
        <v>324</v>
      </c>
    </row>
    <row r="269" spans="13:13" x14ac:dyDescent="0.3">
      <c r="M269" s="4" t="s">
        <v>324</v>
      </c>
    </row>
    <row r="270" spans="13:13" x14ac:dyDescent="0.3">
      <c r="M270" s="4" t="s">
        <v>324</v>
      </c>
    </row>
    <row r="271" spans="13:13" x14ac:dyDescent="0.3">
      <c r="M271" s="4" t="s">
        <v>324</v>
      </c>
    </row>
    <row r="272" spans="13:13" x14ac:dyDescent="0.3">
      <c r="M272" s="4" t="s">
        <v>324</v>
      </c>
    </row>
    <row r="273" spans="13:13" x14ac:dyDescent="0.3">
      <c r="M273" s="4" t="s">
        <v>324</v>
      </c>
    </row>
    <row r="274" spans="13:13" x14ac:dyDescent="0.3">
      <c r="M274" s="4" t="s">
        <v>324</v>
      </c>
    </row>
    <row r="275" spans="13:13" x14ac:dyDescent="0.3">
      <c r="M275" s="4" t="s">
        <v>324</v>
      </c>
    </row>
    <row r="276" spans="13:13" x14ac:dyDescent="0.3">
      <c r="M276" s="4" t="s">
        <v>324</v>
      </c>
    </row>
    <row r="277" spans="13:13" x14ac:dyDescent="0.3">
      <c r="M277" s="4" t="s">
        <v>324</v>
      </c>
    </row>
    <row r="278" spans="13:13" x14ac:dyDescent="0.3">
      <c r="M278" s="4" t="s">
        <v>324</v>
      </c>
    </row>
    <row r="279" spans="13:13" x14ac:dyDescent="0.3">
      <c r="M279" s="4" t="s">
        <v>324</v>
      </c>
    </row>
    <row r="280" spans="13:13" x14ac:dyDescent="0.3">
      <c r="M280" s="4" t="s">
        <v>324</v>
      </c>
    </row>
    <row r="281" spans="13:13" x14ac:dyDescent="0.3">
      <c r="M281" s="4" t="s">
        <v>324</v>
      </c>
    </row>
    <row r="282" spans="13:13" x14ac:dyDescent="0.3">
      <c r="M282" s="4" t="s">
        <v>324</v>
      </c>
    </row>
    <row r="283" spans="13:13" x14ac:dyDescent="0.3">
      <c r="M283" s="4" t="s">
        <v>324</v>
      </c>
    </row>
    <row r="284" spans="13:13" x14ac:dyDescent="0.3">
      <c r="M284" s="4" t="s">
        <v>324</v>
      </c>
    </row>
    <row r="285" spans="13:13" x14ac:dyDescent="0.3">
      <c r="M285" s="4" t="s">
        <v>324</v>
      </c>
    </row>
    <row r="286" spans="13:13" x14ac:dyDescent="0.3">
      <c r="M286" s="4" t="s">
        <v>324</v>
      </c>
    </row>
    <row r="287" spans="13:13" x14ac:dyDescent="0.3">
      <c r="M287" s="4" t="s">
        <v>324</v>
      </c>
    </row>
    <row r="288" spans="13:13" x14ac:dyDescent="0.3">
      <c r="M288" s="4" t="s">
        <v>324</v>
      </c>
    </row>
    <row r="289" spans="13:13" x14ac:dyDescent="0.3">
      <c r="M289" s="4" t="s">
        <v>324</v>
      </c>
    </row>
    <row r="290" spans="13:13" x14ac:dyDescent="0.3">
      <c r="M290" s="4" t="s">
        <v>324</v>
      </c>
    </row>
    <row r="291" spans="13:13" x14ac:dyDescent="0.3">
      <c r="M291" s="4" t="s">
        <v>324</v>
      </c>
    </row>
    <row r="292" spans="13:13" x14ac:dyDescent="0.3">
      <c r="M292" s="4" t="s">
        <v>324</v>
      </c>
    </row>
    <row r="293" spans="13:13" x14ac:dyDescent="0.3">
      <c r="M293" s="4" t="s">
        <v>324</v>
      </c>
    </row>
    <row r="294" spans="13:13" x14ac:dyDescent="0.3">
      <c r="M294" s="4" t="s">
        <v>324</v>
      </c>
    </row>
    <row r="295" spans="13:13" x14ac:dyDescent="0.3">
      <c r="M295" s="4" t="s">
        <v>324</v>
      </c>
    </row>
    <row r="296" spans="13:13" x14ac:dyDescent="0.3">
      <c r="M296" s="4" t="s">
        <v>324</v>
      </c>
    </row>
    <row r="297" spans="13:13" x14ac:dyDescent="0.3">
      <c r="M297" s="4" t="s">
        <v>324</v>
      </c>
    </row>
    <row r="298" spans="13:13" x14ac:dyDescent="0.3">
      <c r="M298" s="4" t="s">
        <v>324</v>
      </c>
    </row>
    <row r="299" spans="13:13" x14ac:dyDescent="0.3">
      <c r="M299" s="4" t="s">
        <v>324</v>
      </c>
    </row>
    <row r="300" spans="13:13" x14ac:dyDescent="0.3">
      <c r="M300" s="4" t="s">
        <v>324</v>
      </c>
    </row>
    <row r="301" spans="13:13" x14ac:dyDescent="0.3">
      <c r="M301" s="4" t="s">
        <v>324</v>
      </c>
    </row>
    <row r="302" spans="13:13" x14ac:dyDescent="0.3">
      <c r="M302" s="4" t="s">
        <v>324</v>
      </c>
    </row>
    <row r="303" spans="13:13" x14ac:dyDescent="0.3">
      <c r="M303" s="4" t="s">
        <v>324</v>
      </c>
    </row>
    <row r="304" spans="13:13" x14ac:dyDescent="0.3">
      <c r="M304" s="4" t="s">
        <v>324</v>
      </c>
    </row>
    <row r="305" spans="13:13" x14ac:dyDescent="0.3">
      <c r="M305" s="4" t="s">
        <v>324</v>
      </c>
    </row>
    <row r="306" spans="13:13" x14ac:dyDescent="0.3">
      <c r="M306" s="4" t="s">
        <v>324</v>
      </c>
    </row>
    <row r="307" spans="13:13" x14ac:dyDescent="0.3">
      <c r="M307" s="4" t="s">
        <v>324</v>
      </c>
    </row>
    <row r="308" spans="13:13" x14ac:dyDescent="0.3">
      <c r="M308" s="4" t="s">
        <v>324</v>
      </c>
    </row>
    <row r="309" spans="13:13" x14ac:dyDescent="0.3">
      <c r="M309" s="4" t="s">
        <v>324</v>
      </c>
    </row>
    <row r="310" spans="13:13" x14ac:dyDescent="0.3">
      <c r="M310" s="4" t="s">
        <v>324</v>
      </c>
    </row>
    <row r="311" spans="13:13" x14ac:dyDescent="0.3">
      <c r="M311" s="4" t="s">
        <v>324</v>
      </c>
    </row>
    <row r="312" spans="13:13" x14ac:dyDescent="0.3">
      <c r="M312" s="4" t="s">
        <v>324</v>
      </c>
    </row>
    <row r="313" spans="13:13" x14ac:dyDescent="0.3">
      <c r="M313" s="4" t="s">
        <v>324</v>
      </c>
    </row>
    <row r="314" spans="13:13" x14ac:dyDescent="0.3">
      <c r="M314" s="4" t="s">
        <v>324</v>
      </c>
    </row>
    <row r="315" spans="13:13" x14ac:dyDescent="0.3">
      <c r="M315" s="4" t="s">
        <v>324</v>
      </c>
    </row>
    <row r="316" spans="13:13" x14ac:dyDescent="0.3">
      <c r="M316" s="4" t="s">
        <v>324</v>
      </c>
    </row>
    <row r="317" spans="13:13" x14ac:dyDescent="0.3">
      <c r="M317" s="4" t="s">
        <v>324</v>
      </c>
    </row>
    <row r="318" spans="13:13" x14ac:dyDescent="0.3">
      <c r="M318" s="4" t="s">
        <v>324</v>
      </c>
    </row>
    <row r="319" spans="13:13" x14ac:dyDescent="0.3">
      <c r="M319" s="4" t="s">
        <v>324</v>
      </c>
    </row>
    <row r="320" spans="13:13" x14ac:dyDescent="0.3">
      <c r="M320" s="4" t="s">
        <v>324</v>
      </c>
    </row>
    <row r="321" spans="13:13" x14ac:dyDescent="0.3">
      <c r="M321" s="4" t="s">
        <v>324</v>
      </c>
    </row>
    <row r="322" spans="13:13" x14ac:dyDescent="0.3">
      <c r="M322" s="4" t="s">
        <v>324</v>
      </c>
    </row>
    <row r="323" spans="13:13" x14ac:dyDescent="0.3">
      <c r="M323" s="4" t="s">
        <v>324</v>
      </c>
    </row>
    <row r="324" spans="13:13" x14ac:dyDescent="0.3">
      <c r="M324" s="4" t="s">
        <v>324</v>
      </c>
    </row>
    <row r="325" spans="13:13" x14ac:dyDescent="0.3">
      <c r="M325" s="4" t="s">
        <v>324</v>
      </c>
    </row>
    <row r="326" spans="13:13" x14ac:dyDescent="0.3">
      <c r="M326" s="4" t="s">
        <v>324</v>
      </c>
    </row>
    <row r="327" spans="13:13" x14ac:dyDescent="0.3">
      <c r="M327" s="4" t="s">
        <v>324</v>
      </c>
    </row>
    <row r="328" spans="13:13" x14ac:dyDescent="0.3">
      <c r="M328" s="4" t="s">
        <v>324</v>
      </c>
    </row>
    <row r="329" spans="13:13" x14ac:dyDescent="0.3">
      <c r="M329" s="4" t="s">
        <v>324</v>
      </c>
    </row>
    <row r="330" spans="13:13" x14ac:dyDescent="0.3">
      <c r="M330" s="4" t="s">
        <v>324</v>
      </c>
    </row>
    <row r="331" spans="13:13" x14ac:dyDescent="0.3">
      <c r="M331" s="4" t="s">
        <v>324</v>
      </c>
    </row>
    <row r="332" spans="13:13" x14ac:dyDescent="0.3">
      <c r="M332" s="4" t="s">
        <v>324</v>
      </c>
    </row>
    <row r="333" spans="13:13" x14ac:dyDescent="0.3">
      <c r="M333" s="4" t="s">
        <v>324</v>
      </c>
    </row>
    <row r="334" spans="13:13" x14ac:dyDescent="0.3">
      <c r="M334" s="4" t="s">
        <v>324</v>
      </c>
    </row>
    <row r="335" spans="13:13" x14ac:dyDescent="0.3">
      <c r="M335" s="4" t="s">
        <v>324</v>
      </c>
    </row>
    <row r="336" spans="13:13" x14ac:dyDescent="0.3">
      <c r="M336" s="4" t="s">
        <v>324</v>
      </c>
    </row>
    <row r="337" spans="13:13" x14ac:dyDescent="0.3">
      <c r="M337" s="4" t="s">
        <v>324</v>
      </c>
    </row>
    <row r="338" spans="13:13" x14ac:dyDescent="0.3">
      <c r="M338" s="4" t="s">
        <v>324</v>
      </c>
    </row>
    <row r="339" spans="13:13" x14ac:dyDescent="0.3">
      <c r="M339" s="4" t="s">
        <v>324</v>
      </c>
    </row>
    <row r="340" spans="13:13" x14ac:dyDescent="0.3">
      <c r="M340" s="4" t="s">
        <v>324</v>
      </c>
    </row>
    <row r="341" spans="13:13" x14ac:dyDescent="0.3">
      <c r="M341" s="4" t="s">
        <v>324</v>
      </c>
    </row>
    <row r="342" spans="13:13" x14ac:dyDescent="0.3">
      <c r="M342" s="4" t="s">
        <v>324</v>
      </c>
    </row>
    <row r="343" spans="13:13" x14ac:dyDescent="0.3">
      <c r="M343" s="4" t="s">
        <v>324</v>
      </c>
    </row>
    <row r="344" spans="13:13" x14ac:dyDescent="0.3">
      <c r="M344" s="4" t="s">
        <v>324</v>
      </c>
    </row>
    <row r="345" spans="13:13" x14ac:dyDescent="0.3">
      <c r="M345" s="4" t="s">
        <v>324</v>
      </c>
    </row>
    <row r="346" spans="13:13" x14ac:dyDescent="0.3">
      <c r="M346" s="4" t="s">
        <v>324</v>
      </c>
    </row>
    <row r="347" spans="13:13" x14ac:dyDescent="0.3">
      <c r="M347" s="4" t="s">
        <v>324</v>
      </c>
    </row>
    <row r="348" spans="13:13" x14ac:dyDescent="0.3">
      <c r="M348" s="4" t="s">
        <v>324</v>
      </c>
    </row>
    <row r="349" spans="13:13" x14ac:dyDescent="0.3">
      <c r="M349" s="4" t="s">
        <v>324</v>
      </c>
    </row>
    <row r="350" spans="13:13" x14ac:dyDescent="0.3">
      <c r="M350" s="4" t="s">
        <v>324</v>
      </c>
    </row>
    <row r="351" spans="13:13" x14ac:dyDescent="0.3">
      <c r="M351" s="4" t="s">
        <v>324</v>
      </c>
    </row>
    <row r="352" spans="13:13" x14ac:dyDescent="0.3">
      <c r="M352" s="4" t="s">
        <v>324</v>
      </c>
    </row>
    <row r="353" spans="13:13" x14ac:dyDescent="0.3">
      <c r="M353" s="4" t="s">
        <v>324</v>
      </c>
    </row>
    <row r="354" spans="13:13" x14ac:dyDescent="0.3">
      <c r="M354" s="4" t="s">
        <v>324</v>
      </c>
    </row>
    <row r="355" spans="13:13" x14ac:dyDescent="0.3">
      <c r="M355" s="4" t="s">
        <v>324</v>
      </c>
    </row>
    <row r="356" spans="13:13" x14ac:dyDescent="0.3">
      <c r="M356" s="4" t="s">
        <v>324</v>
      </c>
    </row>
    <row r="357" spans="13:13" x14ac:dyDescent="0.3">
      <c r="M357" s="4" t="s">
        <v>324</v>
      </c>
    </row>
    <row r="358" spans="13:13" x14ac:dyDescent="0.3">
      <c r="M358" s="4" t="s">
        <v>324</v>
      </c>
    </row>
    <row r="359" spans="13:13" x14ac:dyDescent="0.3">
      <c r="M359" s="4" t="s">
        <v>324</v>
      </c>
    </row>
    <row r="360" spans="13:13" x14ac:dyDescent="0.3">
      <c r="M360" s="4" t="s">
        <v>324</v>
      </c>
    </row>
    <row r="361" spans="13:13" x14ac:dyDescent="0.3">
      <c r="M361" s="4" t="s">
        <v>324</v>
      </c>
    </row>
    <row r="362" spans="13:13" x14ac:dyDescent="0.3">
      <c r="M362" s="4" t="s">
        <v>324</v>
      </c>
    </row>
    <row r="363" spans="13:13" x14ac:dyDescent="0.3">
      <c r="M363" s="4" t="s">
        <v>324</v>
      </c>
    </row>
    <row r="364" spans="13:13" x14ac:dyDescent="0.3">
      <c r="M364" s="4" t="s">
        <v>324</v>
      </c>
    </row>
    <row r="365" spans="13:13" x14ac:dyDescent="0.3">
      <c r="M365" s="4" t="s">
        <v>324</v>
      </c>
    </row>
    <row r="366" spans="13:13" x14ac:dyDescent="0.3">
      <c r="M366" s="4" t="s">
        <v>324</v>
      </c>
    </row>
    <row r="367" spans="13:13" x14ac:dyDescent="0.3">
      <c r="M367" s="4" t="s">
        <v>324</v>
      </c>
    </row>
    <row r="368" spans="13:13" x14ac:dyDescent="0.3">
      <c r="M368" s="4" t="s">
        <v>324</v>
      </c>
    </row>
    <row r="369" spans="13:13" x14ac:dyDescent="0.3">
      <c r="M369" s="4" t="s">
        <v>324</v>
      </c>
    </row>
    <row r="370" spans="13:13" x14ac:dyDescent="0.3">
      <c r="M370" s="4" t="s">
        <v>324</v>
      </c>
    </row>
    <row r="371" spans="13:13" x14ac:dyDescent="0.3">
      <c r="M371" s="4" t="s">
        <v>324</v>
      </c>
    </row>
    <row r="372" spans="13:13" x14ac:dyDescent="0.3">
      <c r="M372" s="4" t="s">
        <v>324</v>
      </c>
    </row>
    <row r="373" spans="13:13" x14ac:dyDescent="0.3">
      <c r="M373" s="4" t="s">
        <v>324</v>
      </c>
    </row>
    <row r="374" spans="13:13" x14ac:dyDescent="0.3">
      <c r="M374" s="4" t="s">
        <v>324</v>
      </c>
    </row>
    <row r="375" spans="13:13" x14ac:dyDescent="0.3">
      <c r="M375" s="4" t="s">
        <v>324</v>
      </c>
    </row>
    <row r="376" spans="13:13" x14ac:dyDescent="0.3">
      <c r="M376" s="4" t="s">
        <v>324</v>
      </c>
    </row>
    <row r="377" spans="13:13" x14ac:dyDescent="0.3">
      <c r="M377" s="4" t="s">
        <v>324</v>
      </c>
    </row>
    <row r="378" spans="13:13" x14ac:dyDescent="0.3">
      <c r="M378" s="4" t="s">
        <v>324</v>
      </c>
    </row>
    <row r="379" spans="13:13" x14ac:dyDescent="0.3">
      <c r="M379" s="4" t="s">
        <v>324</v>
      </c>
    </row>
    <row r="380" spans="13:13" x14ac:dyDescent="0.3">
      <c r="M380" s="4" t="s">
        <v>324</v>
      </c>
    </row>
    <row r="381" spans="13:13" x14ac:dyDescent="0.3">
      <c r="M381" s="4" t="s">
        <v>324</v>
      </c>
    </row>
    <row r="382" spans="13:13" x14ac:dyDescent="0.3">
      <c r="M382" s="4" t="s">
        <v>324</v>
      </c>
    </row>
    <row r="383" spans="13:13" x14ac:dyDescent="0.3">
      <c r="M383" s="4" t="s">
        <v>324</v>
      </c>
    </row>
    <row r="384" spans="13:13" x14ac:dyDescent="0.3">
      <c r="M384" s="4" t="s">
        <v>324</v>
      </c>
    </row>
    <row r="385" spans="13:13" x14ac:dyDescent="0.3">
      <c r="M385" s="4" t="s">
        <v>324</v>
      </c>
    </row>
    <row r="386" spans="13:13" x14ac:dyDescent="0.3">
      <c r="M386" s="4" t="s">
        <v>324</v>
      </c>
    </row>
    <row r="387" spans="13:13" x14ac:dyDescent="0.3">
      <c r="M387" s="4" t="s">
        <v>324</v>
      </c>
    </row>
    <row r="388" spans="13:13" x14ac:dyDescent="0.3">
      <c r="M388" s="4" t="s">
        <v>324</v>
      </c>
    </row>
    <row r="389" spans="13:13" x14ac:dyDescent="0.3">
      <c r="M389" s="4" t="s">
        <v>324</v>
      </c>
    </row>
    <row r="390" spans="13:13" x14ac:dyDescent="0.3">
      <c r="M390" s="4" t="s">
        <v>324</v>
      </c>
    </row>
    <row r="391" spans="13:13" x14ac:dyDescent="0.3">
      <c r="M391" s="4" t="s">
        <v>324</v>
      </c>
    </row>
    <row r="392" spans="13:13" x14ac:dyDescent="0.3">
      <c r="M392" s="4" t="s">
        <v>324</v>
      </c>
    </row>
    <row r="393" spans="13:13" x14ac:dyDescent="0.3">
      <c r="M393" s="4" t="s">
        <v>324</v>
      </c>
    </row>
    <row r="394" spans="13:13" x14ac:dyDescent="0.3">
      <c r="M394" s="4" t="s">
        <v>324</v>
      </c>
    </row>
    <row r="395" spans="13:13" x14ac:dyDescent="0.3">
      <c r="M395" s="4" t="s">
        <v>324</v>
      </c>
    </row>
    <row r="396" spans="13:13" x14ac:dyDescent="0.3">
      <c r="M396" s="4" t="s">
        <v>324</v>
      </c>
    </row>
    <row r="397" spans="13:13" x14ac:dyDescent="0.3">
      <c r="M397" s="4" t="s">
        <v>324</v>
      </c>
    </row>
    <row r="398" spans="13:13" x14ac:dyDescent="0.3">
      <c r="M398" s="4" t="s">
        <v>324</v>
      </c>
    </row>
    <row r="399" spans="13:13" x14ac:dyDescent="0.3">
      <c r="M399" s="4" t="s">
        <v>324</v>
      </c>
    </row>
    <row r="400" spans="13:13" x14ac:dyDescent="0.3">
      <c r="M400" s="4" t="s">
        <v>324</v>
      </c>
    </row>
    <row r="401" spans="13:13" x14ac:dyDescent="0.3">
      <c r="M401" s="4" t="s">
        <v>324</v>
      </c>
    </row>
    <row r="402" spans="13:13" x14ac:dyDescent="0.3">
      <c r="M402" s="4" t="s">
        <v>324</v>
      </c>
    </row>
    <row r="403" spans="13:13" x14ac:dyDescent="0.3">
      <c r="M403" s="4" t="s">
        <v>324</v>
      </c>
    </row>
    <row r="404" spans="13:13" x14ac:dyDescent="0.3">
      <c r="M404" s="4" t="s">
        <v>324</v>
      </c>
    </row>
    <row r="405" spans="13:13" x14ac:dyDescent="0.3">
      <c r="M405" s="4" t="s">
        <v>324</v>
      </c>
    </row>
    <row r="406" spans="13:13" x14ac:dyDescent="0.3">
      <c r="M406" s="4" t="s">
        <v>324</v>
      </c>
    </row>
    <row r="407" spans="13:13" x14ac:dyDescent="0.3">
      <c r="M407" s="4" t="s">
        <v>324</v>
      </c>
    </row>
    <row r="408" spans="13:13" x14ac:dyDescent="0.3">
      <c r="M408" s="4" t="s">
        <v>324</v>
      </c>
    </row>
    <row r="409" spans="13:13" x14ac:dyDescent="0.3">
      <c r="M409" s="4" t="s">
        <v>324</v>
      </c>
    </row>
    <row r="410" spans="13:13" x14ac:dyDescent="0.3">
      <c r="M410" s="4" t="s">
        <v>324</v>
      </c>
    </row>
    <row r="411" spans="13:13" x14ac:dyDescent="0.3">
      <c r="M411" s="4" t="s">
        <v>324</v>
      </c>
    </row>
    <row r="412" spans="13:13" x14ac:dyDescent="0.3">
      <c r="M412" s="4" t="s">
        <v>324</v>
      </c>
    </row>
    <row r="413" spans="13:13" x14ac:dyDescent="0.3">
      <c r="M413" s="4" t="s">
        <v>324</v>
      </c>
    </row>
    <row r="414" spans="13:13" x14ac:dyDescent="0.3">
      <c r="M414" s="4" t="s">
        <v>324</v>
      </c>
    </row>
    <row r="415" spans="13:13" x14ac:dyDescent="0.3">
      <c r="M415" s="4" t="s">
        <v>324</v>
      </c>
    </row>
    <row r="416" spans="13:13" x14ac:dyDescent="0.3">
      <c r="M416" s="4" t="s">
        <v>324</v>
      </c>
    </row>
    <row r="417" spans="13:13" x14ac:dyDescent="0.3">
      <c r="M417" s="4" t="s">
        <v>324</v>
      </c>
    </row>
    <row r="418" spans="13:13" x14ac:dyDescent="0.3">
      <c r="M418" s="4" t="s">
        <v>324</v>
      </c>
    </row>
    <row r="419" spans="13:13" x14ac:dyDescent="0.3">
      <c r="M419" s="4" t="s">
        <v>324</v>
      </c>
    </row>
    <row r="420" spans="13:13" x14ac:dyDescent="0.3">
      <c r="M420" s="4" t="s">
        <v>324</v>
      </c>
    </row>
    <row r="421" spans="13:13" x14ac:dyDescent="0.3">
      <c r="M421" s="4" t="s">
        <v>324</v>
      </c>
    </row>
    <row r="422" spans="13:13" x14ac:dyDescent="0.3">
      <c r="M422" s="4" t="s">
        <v>324</v>
      </c>
    </row>
    <row r="423" spans="13:13" x14ac:dyDescent="0.3">
      <c r="M423" s="4" t="s">
        <v>324</v>
      </c>
    </row>
    <row r="424" spans="13:13" x14ac:dyDescent="0.3">
      <c r="M424" s="4" t="s">
        <v>324</v>
      </c>
    </row>
    <row r="425" spans="13:13" x14ac:dyDescent="0.3">
      <c r="M425" s="4" t="s">
        <v>324</v>
      </c>
    </row>
    <row r="426" spans="13:13" x14ac:dyDescent="0.3">
      <c r="M426" s="4" t="s">
        <v>324</v>
      </c>
    </row>
    <row r="427" spans="13:13" x14ac:dyDescent="0.3">
      <c r="M427" s="4" t="s">
        <v>324</v>
      </c>
    </row>
    <row r="428" spans="13:13" x14ac:dyDescent="0.3">
      <c r="M428" s="4" t="s">
        <v>324</v>
      </c>
    </row>
    <row r="429" spans="13:13" x14ac:dyDescent="0.3">
      <c r="M429" s="4" t="s">
        <v>324</v>
      </c>
    </row>
    <row r="430" spans="13:13" x14ac:dyDescent="0.3">
      <c r="M430" s="4" t="s">
        <v>324</v>
      </c>
    </row>
    <row r="431" spans="13:13" x14ac:dyDescent="0.3">
      <c r="M431" s="4" t="s">
        <v>324</v>
      </c>
    </row>
    <row r="432" spans="13:13" x14ac:dyDescent="0.3">
      <c r="M432" s="4" t="s">
        <v>324</v>
      </c>
    </row>
    <row r="433" spans="13:13" x14ac:dyDescent="0.3">
      <c r="M433" s="4" t="s">
        <v>324</v>
      </c>
    </row>
    <row r="434" spans="13:13" x14ac:dyDescent="0.3">
      <c r="M434" s="4" t="s">
        <v>324</v>
      </c>
    </row>
    <row r="435" spans="13:13" x14ac:dyDescent="0.3">
      <c r="M435" s="4" t="s">
        <v>324</v>
      </c>
    </row>
    <row r="436" spans="13:13" x14ac:dyDescent="0.3">
      <c r="M436" s="4" t="s">
        <v>324</v>
      </c>
    </row>
    <row r="437" spans="13:13" x14ac:dyDescent="0.3">
      <c r="M437" s="4" t="s">
        <v>324</v>
      </c>
    </row>
    <row r="438" spans="13:13" x14ac:dyDescent="0.3">
      <c r="M438" s="4" t="s">
        <v>324</v>
      </c>
    </row>
    <row r="439" spans="13:13" x14ac:dyDescent="0.3">
      <c r="M439" s="4" t="s">
        <v>324</v>
      </c>
    </row>
    <row r="440" spans="13:13" x14ac:dyDescent="0.3">
      <c r="M440" s="4" t="s">
        <v>324</v>
      </c>
    </row>
    <row r="441" spans="13:13" x14ac:dyDescent="0.3">
      <c r="M441" s="4" t="s">
        <v>324</v>
      </c>
    </row>
    <row r="442" spans="13:13" x14ac:dyDescent="0.3">
      <c r="M442" s="4" t="s">
        <v>324</v>
      </c>
    </row>
    <row r="443" spans="13:13" x14ac:dyDescent="0.3">
      <c r="M443" s="4" t="s">
        <v>324</v>
      </c>
    </row>
    <row r="444" spans="13:13" x14ac:dyDescent="0.3">
      <c r="M444" s="4" t="s">
        <v>324</v>
      </c>
    </row>
    <row r="445" spans="13:13" x14ac:dyDescent="0.3">
      <c r="M445" s="4" t="s">
        <v>324</v>
      </c>
    </row>
    <row r="446" spans="13:13" x14ac:dyDescent="0.3">
      <c r="M446" s="4" t="s">
        <v>324</v>
      </c>
    </row>
    <row r="447" spans="13:13" x14ac:dyDescent="0.3">
      <c r="M447" s="4" t="s">
        <v>324</v>
      </c>
    </row>
    <row r="448" spans="13:13" x14ac:dyDescent="0.3">
      <c r="M448" s="4" t="s">
        <v>324</v>
      </c>
    </row>
    <row r="449" spans="13:13" x14ac:dyDescent="0.3">
      <c r="M449" s="4" t="s">
        <v>324</v>
      </c>
    </row>
    <row r="450" spans="13:13" x14ac:dyDescent="0.3">
      <c r="M450" s="4" t="s">
        <v>324</v>
      </c>
    </row>
    <row r="451" spans="13:13" x14ac:dyDescent="0.3">
      <c r="M451" s="4" t="s">
        <v>324</v>
      </c>
    </row>
    <row r="452" spans="13:13" x14ac:dyDescent="0.3">
      <c r="M452" s="4" t="s">
        <v>324</v>
      </c>
    </row>
    <row r="453" spans="13:13" x14ac:dyDescent="0.3">
      <c r="M453" s="4" t="s">
        <v>324</v>
      </c>
    </row>
    <row r="454" spans="13:13" x14ac:dyDescent="0.3">
      <c r="M454" s="4" t="s">
        <v>324</v>
      </c>
    </row>
    <row r="455" spans="13:13" x14ac:dyDescent="0.3">
      <c r="M455" s="4" t="s">
        <v>324</v>
      </c>
    </row>
    <row r="456" spans="13:13" x14ac:dyDescent="0.3">
      <c r="M456" s="4" t="s">
        <v>324</v>
      </c>
    </row>
    <row r="457" spans="13:13" x14ac:dyDescent="0.3">
      <c r="M457" s="4" t="s">
        <v>324</v>
      </c>
    </row>
    <row r="458" spans="13:13" x14ac:dyDescent="0.3">
      <c r="M458" s="4" t="s">
        <v>324</v>
      </c>
    </row>
    <row r="459" spans="13:13" x14ac:dyDescent="0.3">
      <c r="M459" s="4" t="s">
        <v>324</v>
      </c>
    </row>
    <row r="460" spans="13:13" x14ac:dyDescent="0.3">
      <c r="M460" s="4" t="s">
        <v>324</v>
      </c>
    </row>
    <row r="461" spans="13:13" x14ac:dyDescent="0.3">
      <c r="M461" s="4" t="s">
        <v>324</v>
      </c>
    </row>
    <row r="462" spans="13:13" x14ac:dyDescent="0.3">
      <c r="M462" s="4" t="s">
        <v>324</v>
      </c>
    </row>
    <row r="463" spans="13:13" x14ac:dyDescent="0.3">
      <c r="M463" s="4" t="s">
        <v>324</v>
      </c>
    </row>
    <row r="464" spans="13:13" x14ac:dyDescent="0.3">
      <c r="M464" s="4" t="s">
        <v>324</v>
      </c>
    </row>
    <row r="465" spans="13:13" x14ac:dyDescent="0.3">
      <c r="M465" s="4" t="s">
        <v>324</v>
      </c>
    </row>
    <row r="466" spans="13:13" x14ac:dyDescent="0.3">
      <c r="M466" s="4" t="s">
        <v>324</v>
      </c>
    </row>
    <row r="467" spans="13:13" x14ac:dyDescent="0.3">
      <c r="M467" s="4" t="s">
        <v>324</v>
      </c>
    </row>
    <row r="468" spans="13:13" x14ac:dyDescent="0.3">
      <c r="M468" s="4" t="s">
        <v>324</v>
      </c>
    </row>
    <row r="469" spans="13:13" x14ac:dyDescent="0.3">
      <c r="M469" s="4" t="s">
        <v>324</v>
      </c>
    </row>
    <row r="470" spans="13:13" x14ac:dyDescent="0.3">
      <c r="M470" s="4" t="s">
        <v>324</v>
      </c>
    </row>
    <row r="471" spans="13:13" x14ac:dyDescent="0.3">
      <c r="M471" s="4" t="s">
        <v>324</v>
      </c>
    </row>
    <row r="472" spans="13:13" x14ac:dyDescent="0.3">
      <c r="M472" s="4" t="s">
        <v>324</v>
      </c>
    </row>
    <row r="473" spans="13:13" x14ac:dyDescent="0.3">
      <c r="M473" s="4" t="s">
        <v>324</v>
      </c>
    </row>
    <row r="474" spans="13:13" x14ac:dyDescent="0.3">
      <c r="M474" s="4" t="s">
        <v>324</v>
      </c>
    </row>
    <row r="475" spans="13:13" x14ac:dyDescent="0.3">
      <c r="M475" s="4" t="s">
        <v>324</v>
      </c>
    </row>
    <row r="476" spans="13:13" x14ac:dyDescent="0.3">
      <c r="M476" s="4" t="s">
        <v>324</v>
      </c>
    </row>
    <row r="477" spans="13:13" x14ac:dyDescent="0.3">
      <c r="M477" s="4" t="s">
        <v>324</v>
      </c>
    </row>
    <row r="478" spans="13:13" x14ac:dyDescent="0.3">
      <c r="M478" s="4" t="s">
        <v>324</v>
      </c>
    </row>
    <row r="479" spans="13:13" x14ac:dyDescent="0.3">
      <c r="M479" s="4" t="s">
        <v>324</v>
      </c>
    </row>
    <row r="480" spans="13:13" x14ac:dyDescent="0.3">
      <c r="M480" s="4" t="s">
        <v>324</v>
      </c>
    </row>
    <row r="481" spans="13:13" x14ac:dyDescent="0.3">
      <c r="M481" s="4" t="s">
        <v>324</v>
      </c>
    </row>
    <row r="482" spans="13:13" x14ac:dyDescent="0.3">
      <c r="M482" s="4" t="s">
        <v>324</v>
      </c>
    </row>
    <row r="483" spans="13:13" x14ac:dyDescent="0.3">
      <c r="M483" s="4" t="s">
        <v>324</v>
      </c>
    </row>
    <row r="484" spans="13:13" x14ac:dyDescent="0.3">
      <c r="M484" s="4" t="s">
        <v>324</v>
      </c>
    </row>
    <row r="485" spans="13:13" x14ac:dyDescent="0.3">
      <c r="M485" s="4" t="s">
        <v>324</v>
      </c>
    </row>
    <row r="486" spans="13:13" x14ac:dyDescent="0.3">
      <c r="M486" s="4" t="s">
        <v>324</v>
      </c>
    </row>
    <row r="487" spans="13:13" x14ac:dyDescent="0.3">
      <c r="M487" s="4" t="s">
        <v>324</v>
      </c>
    </row>
    <row r="488" spans="13:13" x14ac:dyDescent="0.3">
      <c r="M488" s="4" t="s">
        <v>324</v>
      </c>
    </row>
    <row r="489" spans="13:13" x14ac:dyDescent="0.3">
      <c r="M489" s="4" t="s">
        <v>324</v>
      </c>
    </row>
    <row r="490" spans="13:13" x14ac:dyDescent="0.3">
      <c r="M490" s="4" t="s">
        <v>324</v>
      </c>
    </row>
    <row r="491" spans="13:13" x14ac:dyDescent="0.3">
      <c r="M491" s="4" t="s">
        <v>324</v>
      </c>
    </row>
    <row r="492" spans="13:13" x14ac:dyDescent="0.3">
      <c r="M492" s="4" t="s">
        <v>324</v>
      </c>
    </row>
    <row r="493" spans="13:13" x14ac:dyDescent="0.3">
      <c r="M493" s="4" t="s">
        <v>324</v>
      </c>
    </row>
    <row r="494" spans="13:13" x14ac:dyDescent="0.3">
      <c r="M494" s="4" t="s">
        <v>324</v>
      </c>
    </row>
    <row r="495" spans="13:13" x14ac:dyDescent="0.3">
      <c r="M495" s="4" t="s">
        <v>324</v>
      </c>
    </row>
    <row r="496" spans="13:13" x14ac:dyDescent="0.3">
      <c r="M496" s="4" t="s">
        <v>324</v>
      </c>
    </row>
    <row r="497" spans="13:13" x14ac:dyDescent="0.3">
      <c r="M497" s="4" t="s">
        <v>324</v>
      </c>
    </row>
    <row r="498" spans="13:13" x14ac:dyDescent="0.3">
      <c r="M498" s="4" t="s">
        <v>324</v>
      </c>
    </row>
    <row r="499" spans="13:13" x14ac:dyDescent="0.3">
      <c r="M499" s="4" t="s">
        <v>324</v>
      </c>
    </row>
    <row r="500" spans="13:13" x14ac:dyDescent="0.3">
      <c r="M500" s="4" t="s">
        <v>324</v>
      </c>
    </row>
    <row r="501" spans="13:13" x14ac:dyDescent="0.3">
      <c r="M501" s="4" t="s">
        <v>324</v>
      </c>
    </row>
    <row r="502" spans="13:13" x14ac:dyDescent="0.3">
      <c r="M502" s="4" t="s">
        <v>324</v>
      </c>
    </row>
    <row r="503" spans="13:13" x14ac:dyDescent="0.3">
      <c r="M503" s="4" t="s">
        <v>324</v>
      </c>
    </row>
    <row r="504" spans="13:13" x14ac:dyDescent="0.3">
      <c r="M504" s="4" t="s">
        <v>324</v>
      </c>
    </row>
    <row r="505" spans="13:13" x14ac:dyDescent="0.3">
      <c r="M505" s="4" t="s">
        <v>324</v>
      </c>
    </row>
    <row r="506" spans="13:13" x14ac:dyDescent="0.3">
      <c r="M506" s="4" t="s">
        <v>324</v>
      </c>
    </row>
    <row r="507" spans="13:13" x14ac:dyDescent="0.3">
      <c r="M507" s="4" t="s">
        <v>324</v>
      </c>
    </row>
    <row r="508" spans="13:13" x14ac:dyDescent="0.3">
      <c r="M508" s="4" t="s">
        <v>324</v>
      </c>
    </row>
    <row r="509" spans="13:13" x14ac:dyDescent="0.3">
      <c r="M509" s="4" t="s">
        <v>324</v>
      </c>
    </row>
    <row r="510" spans="13:13" x14ac:dyDescent="0.3">
      <c r="M510" s="4" t="s">
        <v>324</v>
      </c>
    </row>
    <row r="511" spans="13:13" x14ac:dyDescent="0.3">
      <c r="M511" s="4" t="s">
        <v>324</v>
      </c>
    </row>
    <row r="512" spans="13:13" x14ac:dyDescent="0.3">
      <c r="M512" s="4" t="s">
        <v>324</v>
      </c>
    </row>
    <row r="513" spans="13:13" x14ac:dyDescent="0.3">
      <c r="M513" s="4" t="s">
        <v>324</v>
      </c>
    </row>
    <row r="514" spans="13:13" x14ac:dyDescent="0.3">
      <c r="M514" s="4" t="s">
        <v>324</v>
      </c>
    </row>
    <row r="515" spans="13:13" x14ac:dyDescent="0.3">
      <c r="M515" s="4" t="s">
        <v>324</v>
      </c>
    </row>
    <row r="516" spans="13:13" x14ac:dyDescent="0.3">
      <c r="M516" s="4" t="s">
        <v>324</v>
      </c>
    </row>
    <row r="517" spans="13:13" x14ac:dyDescent="0.3">
      <c r="M517" s="4" t="s">
        <v>324</v>
      </c>
    </row>
    <row r="518" spans="13:13" x14ac:dyDescent="0.3">
      <c r="M518" s="4" t="s">
        <v>324</v>
      </c>
    </row>
    <row r="519" spans="13:13" x14ac:dyDescent="0.3">
      <c r="M519" s="4" t="s">
        <v>324</v>
      </c>
    </row>
    <row r="520" spans="13:13" x14ac:dyDescent="0.3">
      <c r="M520" s="4" t="s">
        <v>324</v>
      </c>
    </row>
    <row r="521" spans="13:13" x14ac:dyDescent="0.3">
      <c r="M521" s="4" t="s">
        <v>324</v>
      </c>
    </row>
    <row r="522" spans="13:13" x14ac:dyDescent="0.3">
      <c r="M522" s="4" t="s">
        <v>324</v>
      </c>
    </row>
    <row r="523" spans="13:13" x14ac:dyDescent="0.3">
      <c r="M523" s="4" t="s">
        <v>324</v>
      </c>
    </row>
    <row r="524" spans="13:13" x14ac:dyDescent="0.3">
      <c r="M524" s="4" t="s">
        <v>324</v>
      </c>
    </row>
    <row r="525" spans="13:13" x14ac:dyDescent="0.3">
      <c r="M525" s="4" t="s">
        <v>324</v>
      </c>
    </row>
    <row r="526" spans="13:13" x14ac:dyDescent="0.3">
      <c r="M526" s="4" t="s">
        <v>324</v>
      </c>
    </row>
    <row r="527" spans="13:13" x14ac:dyDescent="0.3">
      <c r="M527" s="4" t="s">
        <v>324</v>
      </c>
    </row>
    <row r="528" spans="13:13" x14ac:dyDescent="0.3">
      <c r="M528" s="4" t="s">
        <v>324</v>
      </c>
    </row>
    <row r="529" spans="13:13" x14ac:dyDescent="0.3">
      <c r="M529" s="4" t="s">
        <v>324</v>
      </c>
    </row>
    <row r="530" spans="13:13" x14ac:dyDescent="0.3">
      <c r="M530" s="4" t="s">
        <v>324</v>
      </c>
    </row>
    <row r="531" spans="13:13" x14ac:dyDescent="0.3">
      <c r="M531" s="4" t="s">
        <v>324</v>
      </c>
    </row>
    <row r="532" spans="13:13" x14ac:dyDescent="0.3">
      <c r="M532" s="4" t="s">
        <v>324</v>
      </c>
    </row>
    <row r="533" spans="13:13" x14ac:dyDescent="0.3">
      <c r="M533" s="4" t="s">
        <v>324</v>
      </c>
    </row>
    <row r="534" spans="13:13" x14ac:dyDescent="0.3">
      <c r="M534" s="4" t="s">
        <v>324</v>
      </c>
    </row>
    <row r="535" spans="13:13" x14ac:dyDescent="0.3">
      <c r="M535" s="4" t="s">
        <v>324</v>
      </c>
    </row>
    <row r="536" spans="13:13" x14ac:dyDescent="0.3">
      <c r="M536" s="4" t="s">
        <v>324</v>
      </c>
    </row>
    <row r="537" spans="13:13" x14ac:dyDescent="0.3">
      <c r="M537" s="4" t="s">
        <v>324</v>
      </c>
    </row>
    <row r="538" spans="13:13" x14ac:dyDescent="0.3">
      <c r="M538" s="4" t="s">
        <v>324</v>
      </c>
    </row>
    <row r="539" spans="13:13" x14ac:dyDescent="0.3">
      <c r="M539" s="4" t="s">
        <v>324</v>
      </c>
    </row>
    <row r="540" spans="13:13" x14ac:dyDescent="0.3">
      <c r="M540" s="4" t="s">
        <v>324</v>
      </c>
    </row>
    <row r="541" spans="13:13" x14ac:dyDescent="0.3">
      <c r="M541" s="4" t="s">
        <v>324</v>
      </c>
    </row>
    <row r="542" spans="13:13" x14ac:dyDescent="0.3">
      <c r="M542" s="4" t="s">
        <v>324</v>
      </c>
    </row>
    <row r="543" spans="13:13" x14ac:dyDescent="0.3">
      <c r="M543" s="4" t="s">
        <v>324</v>
      </c>
    </row>
    <row r="544" spans="13:13" x14ac:dyDescent="0.3">
      <c r="M544" s="4" t="s">
        <v>324</v>
      </c>
    </row>
    <row r="545" spans="13:13" x14ac:dyDescent="0.3">
      <c r="M545" s="4" t="s">
        <v>324</v>
      </c>
    </row>
    <row r="546" spans="13:13" x14ac:dyDescent="0.3">
      <c r="M546" s="4" t="s">
        <v>324</v>
      </c>
    </row>
    <row r="547" spans="13:13" x14ac:dyDescent="0.3">
      <c r="M547" s="4" t="s">
        <v>324</v>
      </c>
    </row>
    <row r="548" spans="13:13" x14ac:dyDescent="0.3">
      <c r="M548" s="4" t="s">
        <v>324</v>
      </c>
    </row>
    <row r="549" spans="13:13" x14ac:dyDescent="0.3">
      <c r="M549" s="4" t="s">
        <v>324</v>
      </c>
    </row>
    <row r="550" spans="13:13" x14ac:dyDescent="0.3">
      <c r="M550" s="4" t="s">
        <v>324</v>
      </c>
    </row>
    <row r="551" spans="13:13" x14ac:dyDescent="0.3">
      <c r="M551" s="4" t="s">
        <v>324</v>
      </c>
    </row>
    <row r="552" spans="13:13" x14ac:dyDescent="0.3">
      <c r="M552" s="4" t="s">
        <v>324</v>
      </c>
    </row>
    <row r="553" spans="13:13" x14ac:dyDescent="0.3">
      <c r="M553" s="4" t="s">
        <v>324</v>
      </c>
    </row>
    <row r="554" spans="13:13" x14ac:dyDescent="0.3">
      <c r="M554" s="4" t="s">
        <v>324</v>
      </c>
    </row>
    <row r="555" spans="13:13" x14ac:dyDescent="0.3">
      <c r="M555" s="4" t="s">
        <v>324</v>
      </c>
    </row>
    <row r="556" spans="13:13" x14ac:dyDescent="0.3">
      <c r="M556" s="4" t="s">
        <v>324</v>
      </c>
    </row>
    <row r="557" spans="13:13" x14ac:dyDescent="0.3">
      <c r="M557" s="4" t="s">
        <v>324</v>
      </c>
    </row>
    <row r="558" spans="13:13" x14ac:dyDescent="0.3">
      <c r="M558" s="4" t="s">
        <v>324</v>
      </c>
    </row>
    <row r="559" spans="13:13" x14ac:dyDescent="0.3">
      <c r="M559" s="4" t="s">
        <v>324</v>
      </c>
    </row>
    <row r="560" spans="13:13" x14ac:dyDescent="0.3">
      <c r="M560" s="4" t="s">
        <v>324</v>
      </c>
    </row>
    <row r="561" spans="13:13" x14ac:dyDescent="0.3">
      <c r="M561" s="4" t="s">
        <v>324</v>
      </c>
    </row>
    <row r="562" spans="13:13" x14ac:dyDescent="0.3">
      <c r="M562" s="4" t="s">
        <v>324</v>
      </c>
    </row>
    <row r="563" spans="13:13" x14ac:dyDescent="0.3">
      <c r="M563" s="4" t="s">
        <v>324</v>
      </c>
    </row>
    <row r="564" spans="13:13" x14ac:dyDescent="0.3">
      <c r="M564" s="4" t="s">
        <v>324</v>
      </c>
    </row>
    <row r="565" spans="13:13" x14ac:dyDescent="0.3">
      <c r="M565" s="4" t="s">
        <v>324</v>
      </c>
    </row>
    <row r="566" spans="13:13" x14ac:dyDescent="0.3">
      <c r="M566" s="4" t="s">
        <v>324</v>
      </c>
    </row>
    <row r="567" spans="13:13" x14ac:dyDescent="0.3">
      <c r="M567" s="4" t="s">
        <v>324</v>
      </c>
    </row>
    <row r="568" spans="13:13" x14ac:dyDescent="0.3">
      <c r="M568" s="4" t="s">
        <v>324</v>
      </c>
    </row>
    <row r="569" spans="13:13" x14ac:dyDescent="0.3">
      <c r="M569" s="4" t="s">
        <v>324</v>
      </c>
    </row>
    <row r="570" spans="13:13" x14ac:dyDescent="0.3">
      <c r="M570" s="4" t="s">
        <v>324</v>
      </c>
    </row>
    <row r="571" spans="13:13" x14ac:dyDescent="0.3">
      <c r="M571" s="4" t="s">
        <v>324</v>
      </c>
    </row>
    <row r="572" spans="13:13" x14ac:dyDescent="0.3">
      <c r="M572" s="4" t="s">
        <v>324</v>
      </c>
    </row>
    <row r="573" spans="13:13" x14ac:dyDescent="0.3">
      <c r="M573" s="4" t="s">
        <v>324</v>
      </c>
    </row>
    <row r="574" spans="13:13" x14ac:dyDescent="0.3">
      <c r="M574" s="4" t="s">
        <v>324</v>
      </c>
    </row>
    <row r="575" spans="13:13" x14ac:dyDescent="0.3">
      <c r="M575" s="4" t="s">
        <v>324</v>
      </c>
    </row>
    <row r="576" spans="13:13" x14ac:dyDescent="0.3">
      <c r="M576" s="4" t="s">
        <v>324</v>
      </c>
    </row>
    <row r="577" spans="13:13" x14ac:dyDescent="0.3">
      <c r="M577" s="4" t="s">
        <v>324</v>
      </c>
    </row>
    <row r="578" spans="13:13" x14ac:dyDescent="0.3">
      <c r="M578" s="4" t="s">
        <v>324</v>
      </c>
    </row>
    <row r="579" spans="13:13" x14ac:dyDescent="0.3">
      <c r="M579" s="4" t="s">
        <v>324</v>
      </c>
    </row>
    <row r="580" spans="13:13" x14ac:dyDescent="0.3">
      <c r="M580" s="4" t="s">
        <v>324</v>
      </c>
    </row>
    <row r="581" spans="13:13" x14ac:dyDescent="0.3">
      <c r="M581" s="4" t="s">
        <v>324</v>
      </c>
    </row>
    <row r="582" spans="13:13" x14ac:dyDescent="0.3">
      <c r="M582" s="4" t="s">
        <v>324</v>
      </c>
    </row>
    <row r="583" spans="13:13" x14ac:dyDescent="0.3">
      <c r="M583" s="4" t="s">
        <v>324</v>
      </c>
    </row>
    <row r="584" spans="13:13" x14ac:dyDescent="0.3">
      <c r="M584" s="4" t="s">
        <v>324</v>
      </c>
    </row>
    <row r="585" spans="13:13" x14ac:dyDescent="0.3">
      <c r="M585" s="4" t="s">
        <v>324</v>
      </c>
    </row>
    <row r="586" spans="13:13" x14ac:dyDescent="0.3">
      <c r="M586" s="4" t="s">
        <v>324</v>
      </c>
    </row>
    <row r="587" spans="13:13" x14ac:dyDescent="0.3">
      <c r="M587" s="4" t="s">
        <v>324</v>
      </c>
    </row>
    <row r="588" spans="13:13" x14ac:dyDescent="0.3">
      <c r="M588" s="4" t="s">
        <v>324</v>
      </c>
    </row>
    <row r="589" spans="13:13" x14ac:dyDescent="0.3">
      <c r="M589" s="4" t="s">
        <v>324</v>
      </c>
    </row>
    <row r="590" spans="13:13" x14ac:dyDescent="0.3">
      <c r="M590" s="4" t="s">
        <v>324</v>
      </c>
    </row>
    <row r="591" spans="13:13" x14ac:dyDescent="0.3">
      <c r="M591" s="4" t="s">
        <v>324</v>
      </c>
    </row>
    <row r="592" spans="13:13" x14ac:dyDescent="0.3">
      <c r="M592" s="4" t="s">
        <v>324</v>
      </c>
    </row>
    <row r="593" spans="13:13" x14ac:dyDescent="0.3">
      <c r="M593" s="4" t="s">
        <v>324</v>
      </c>
    </row>
    <row r="594" spans="13:13" x14ac:dyDescent="0.3">
      <c r="M594" s="4" t="s">
        <v>324</v>
      </c>
    </row>
    <row r="595" spans="13:13" x14ac:dyDescent="0.3">
      <c r="M595" s="4" t="s">
        <v>324</v>
      </c>
    </row>
    <row r="596" spans="13:13" x14ac:dyDescent="0.3">
      <c r="M596" s="4" t="s">
        <v>324</v>
      </c>
    </row>
    <row r="597" spans="13:13" x14ac:dyDescent="0.3">
      <c r="M597" s="4" t="s">
        <v>324</v>
      </c>
    </row>
    <row r="598" spans="13:13" x14ac:dyDescent="0.3">
      <c r="M598" s="4" t="s">
        <v>324</v>
      </c>
    </row>
    <row r="599" spans="13:13" x14ac:dyDescent="0.3">
      <c r="M599" s="4" t="s">
        <v>324</v>
      </c>
    </row>
    <row r="600" spans="13:13" x14ac:dyDescent="0.3">
      <c r="M600" s="4" t="s">
        <v>324</v>
      </c>
    </row>
    <row r="601" spans="13:13" x14ac:dyDescent="0.3">
      <c r="M601" s="4" t="s">
        <v>324</v>
      </c>
    </row>
    <row r="602" spans="13:13" x14ac:dyDescent="0.3">
      <c r="M602" s="4" t="s">
        <v>324</v>
      </c>
    </row>
    <row r="603" spans="13:13" x14ac:dyDescent="0.3">
      <c r="M603" s="4" t="s">
        <v>324</v>
      </c>
    </row>
    <row r="604" spans="13:13" x14ac:dyDescent="0.3">
      <c r="M604" s="4" t="s">
        <v>324</v>
      </c>
    </row>
    <row r="605" spans="13:13" x14ac:dyDescent="0.3">
      <c r="M605" s="4" t="s">
        <v>324</v>
      </c>
    </row>
    <row r="606" spans="13:13" x14ac:dyDescent="0.3">
      <c r="M606" s="4" t="s">
        <v>324</v>
      </c>
    </row>
    <row r="607" spans="13:13" x14ac:dyDescent="0.3">
      <c r="M607" s="4" t="s">
        <v>324</v>
      </c>
    </row>
    <row r="608" spans="13:13" x14ac:dyDescent="0.3">
      <c r="M608" s="4" t="s">
        <v>324</v>
      </c>
    </row>
    <row r="609" spans="13:13" x14ac:dyDescent="0.3">
      <c r="M609" s="4" t="s">
        <v>324</v>
      </c>
    </row>
    <row r="610" spans="13:13" x14ac:dyDescent="0.3">
      <c r="M610" s="4" t="s">
        <v>324</v>
      </c>
    </row>
    <row r="611" spans="13:13" x14ac:dyDescent="0.3">
      <c r="M611" s="4" t="s">
        <v>324</v>
      </c>
    </row>
    <row r="612" spans="13:13" x14ac:dyDescent="0.3">
      <c r="M612" s="4" t="s">
        <v>324</v>
      </c>
    </row>
    <row r="613" spans="13:13" x14ac:dyDescent="0.3">
      <c r="M613" s="4" t="s">
        <v>324</v>
      </c>
    </row>
    <row r="614" spans="13:13" x14ac:dyDescent="0.3">
      <c r="M614" s="4" t="s">
        <v>324</v>
      </c>
    </row>
    <row r="615" spans="13:13" x14ac:dyDescent="0.3">
      <c r="M615" s="4" t="s">
        <v>324</v>
      </c>
    </row>
    <row r="616" spans="13:13" x14ac:dyDescent="0.3">
      <c r="M616" s="4" t="s">
        <v>324</v>
      </c>
    </row>
    <row r="617" spans="13:13" x14ac:dyDescent="0.3">
      <c r="M617" s="4" t="s">
        <v>324</v>
      </c>
    </row>
    <row r="618" spans="13:13" x14ac:dyDescent="0.3">
      <c r="M618" s="4" t="s">
        <v>324</v>
      </c>
    </row>
    <row r="619" spans="13:13" x14ac:dyDescent="0.3">
      <c r="M619" s="4" t="s">
        <v>324</v>
      </c>
    </row>
    <row r="620" spans="13:13" x14ac:dyDescent="0.3">
      <c r="M620" s="4" t="s">
        <v>324</v>
      </c>
    </row>
    <row r="621" spans="13:13" x14ac:dyDescent="0.3">
      <c r="M621" s="4" t="s">
        <v>324</v>
      </c>
    </row>
    <row r="622" spans="13:13" x14ac:dyDescent="0.3">
      <c r="M622" s="4" t="s">
        <v>324</v>
      </c>
    </row>
    <row r="623" spans="13:13" x14ac:dyDescent="0.3">
      <c r="M623" s="4" t="s">
        <v>324</v>
      </c>
    </row>
    <row r="624" spans="13:13" x14ac:dyDescent="0.3">
      <c r="M624" s="4" t="s">
        <v>324</v>
      </c>
    </row>
    <row r="625" spans="13:13" x14ac:dyDescent="0.3">
      <c r="M625" s="4" t="s">
        <v>324</v>
      </c>
    </row>
    <row r="626" spans="13:13" x14ac:dyDescent="0.3">
      <c r="M626" s="4" t="s">
        <v>324</v>
      </c>
    </row>
    <row r="627" spans="13:13" x14ac:dyDescent="0.3">
      <c r="M627" s="4" t="s">
        <v>324</v>
      </c>
    </row>
    <row r="628" spans="13:13" x14ac:dyDescent="0.3">
      <c r="M628" s="4" t="s">
        <v>324</v>
      </c>
    </row>
    <row r="629" spans="13:13" x14ac:dyDescent="0.3">
      <c r="M629" s="4" t="s">
        <v>324</v>
      </c>
    </row>
    <row r="630" spans="13:13" x14ac:dyDescent="0.3">
      <c r="M630" s="4" t="s">
        <v>324</v>
      </c>
    </row>
    <row r="631" spans="13:13" x14ac:dyDescent="0.3">
      <c r="M631" s="4" t="s">
        <v>324</v>
      </c>
    </row>
    <row r="632" spans="13:13" x14ac:dyDescent="0.3">
      <c r="M632" s="4" t="s">
        <v>324</v>
      </c>
    </row>
    <row r="633" spans="13:13" x14ac:dyDescent="0.3">
      <c r="M633" s="4" t="s">
        <v>324</v>
      </c>
    </row>
    <row r="634" spans="13:13" x14ac:dyDescent="0.3">
      <c r="M634" s="4" t="s">
        <v>324</v>
      </c>
    </row>
    <row r="635" spans="13:13" x14ac:dyDescent="0.3">
      <c r="M635" s="4" t="s">
        <v>324</v>
      </c>
    </row>
    <row r="636" spans="13:13" x14ac:dyDescent="0.3">
      <c r="M636" s="4" t="s">
        <v>324</v>
      </c>
    </row>
    <row r="637" spans="13:13" x14ac:dyDescent="0.3">
      <c r="M637" s="4" t="s">
        <v>324</v>
      </c>
    </row>
    <row r="638" spans="13:13" x14ac:dyDescent="0.3">
      <c r="M638" s="4" t="s">
        <v>324</v>
      </c>
    </row>
    <row r="639" spans="13:13" x14ac:dyDescent="0.3">
      <c r="M639" s="4" t="s">
        <v>324</v>
      </c>
    </row>
    <row r="640" spans="13:13" x14ac:dyDescent="0.3">
      <c r="M640" s="4" t="s">
        <v>324</v>
      </c>
    </row>
    <row r="641" spans="13:13" x14ac:dyDescent="0.3">
      <c r="M641" s="4" t="s">
        <v>324</v>
      </c>
    </row>
    <row r="642" spans="13:13" x14ac:dyDescent="0.3">
      <c r="M642" s="4" t="s">
        <v>324</v>
      </c>
    </row>
    <row r="643" spans="13:13" x14ac:dyDescent="0.3">
      <c r="M643" s="4" t="s">
        <v>324</v>
      </c>
    </row>
    <row r="644" spans="13:13" x14ac:dyDescent="0.3">
      <c r="M644" s="4" t="s">
        <v>324</v>
      </c>
    </row>
    <row r="645" spans="13:13" x14ac:dyDescent="0.3">
      <c r="M645" s="4" t="s">
        <v>324</v>
      </c>
    </row>
    <row r="646" spans="13:13" x14ac:dyDescent="0.3">
      <c r="M646" s="4" t="s">
        <v>324</v>
      </c>
    </row>
    <row r="647" spans="13:13" x14ac:dyDescent="0.3">
      <c r="M647" s="4" t="s">
        <v>324</v>
      </c>
    </row>
    <row r="648" spans="13:13" x14ac:dyDescent="0.3">
      <c r="M648" s="4" t="s">
        <v>324</v>
      </c>
    </row>
    <row r="649" spans="13:13" x14ac:dyDescent="0.3">
      <c r="M649" s="4" t="s">
        <v>324</v>
      </c>
    </row>
    <row r="650" spans="13:13" x14ac:dyDescent="0.3">
      <c r="M650" s="4" t="s">
        <v>324</v>
      </c>
    </row>
    <row r="651" spans="13:13" x14ac:dyDescent="0.3">
      <c r="M651" s="4" t="s">
        <v>324</v>
      </c>
    </row>
    <row r="652" spans="13:13" x14ac:dyDescent="0.3">
      <c r="M652" s="4" t="s">
        <v>324</v>
      </c>
    </row>
    <row r="653" spans="13:13" x14ac:dyDescent="0.3">
      <c r="M653" s="4" t="s">
        <v>324</v>
      </c>
    </row>
    <row r="654" spans="13:13" x14ac:dyDescent="0.3">
      <c r="M654" s="4" t="s">
        <v>324</v>
      </c>
    </row>
    <row r="655" spans="13:13" x14ac:dyDescent="0.3">
      <c r="M655" s="4" t="s">
        <v>324</v>
      </c>
    </row>
    <row r="656" spans="13:13" x14ac:dyDescent="0.3">
      <c r="M656" s="4" t="s">
        <v>324</v>
      </c>
    </row>
    <row r="657" spans="13:13" x14ac:dyDescent="0.3">
      <c r="M657" s="4" t="s">
        <v>324</v>
      </c>
    </row>
    <row r="658" spans="13:13" x14ac:dyDescent="0.3">
      <c r="M658" s="4" t="s">
        <v>324</v>
      </c>
    </row>
    <row r="659" spans="13:13" x14ac:dyDescent="0.3">
      <c r="M659" s="4" t="s">
        <v>324</v>
      </c>
    </row>
    <row r="660" spans="13:13" x14ac:dyDescent="0.3">
      <c r="M660" s="4" t="s">
        <v>324</v>
      </c>
    </row>
    <row r="661" spans="13:13" x14ac:dyDescent="0.3">
      <c r="M661" s="4" t="s">
        <v>324</v>
      </c>
    </row>
    <row r="662" spans="13:13" x14ac:dyDescent="0.3">
      <c r="M662" s="4" t="s">
        <v>324</v>
      </c>
    </row>
    <row r="663" spans="13:13" x14ac:dyDescent="0.3">
      <c r="M663" s="4" t="s">
        <v>324</v>
      </c>
    </row>
    <row r="664" spans="13:13" x14ac:dyDescent="0.3">
      <c r="M664" s="4" t="s">
        <v>324</v>
      </c>
    </row>
    <row r="665" spans="13:13" x14ac:dyDescent="0.3">
      <c r="M665" s="4" t="s">
        <v>324</v>
      </c>
    </row>
    <row r="666" spans="13:13" x14ac:dyDescent="0.3">
      <c r="M666" s="4" t="s">
        <v>324</v>
      </c>
    </row>
    <row r="667" spans="13:13" x14ac:dyDescent="0.3">
      <c r="M667" s="4" t="s">
        <v>324</v>
      </c>
    </row>
    <row r="668" spans="13:13" x14ac:dyDescent="0.3">
      <c r="M668" s="4" t="s">
        <v>324</v>
      </c>
    </row>
    <row r="669" spans="13:13" x14ac:dyDescent="0.3">
      <c r="M669" s="4" t="s">
        <v>324</v>
      </c>
    </row>
    <row r="670" spans="13:13" x14ac:dyDescent="0.3">
      <c r="M670" s="4" t="s">
        <v>324</v>
      </c>
    </row>
    <row r="671" spans="13:13" x14ac:dyDescent="0.3">
      <c r="M671" s="4" t="s">
        <v>324</v>
      </c>
    </row>
    <row r="672" spans="13:13" x14ac:dyDescent="0.3">
      <c r="M672" s="4" t="s">
        <v>324</v>
      </c>
    </row>
    <row r="673" spans="13:13" x14ac:dyDescent="0.3">
      <c r="M673" s="4" t="s">
        <v>324</v>
      </c>
    </row>
    <row r="674" spans="13:13" x14ac:dyDescent="0.3">
      <c r="M674" s="4" t="s">
        <v>324</v>
      </c>
    </row>
    <row r="675" spans="13:13" x14ac:dyDescent="0.3">
      <c r="M675" s="4" t="s">
        <v>324</v>
      </c>
    </row>
    <row r="676" spans="13:13" x14ac:dyDescent="0.3">
      <c r="M676" s="4" t="s">
        <v>324</v>
      </c>
    </row>
    <row r="677" spans="13:13" x14ac:dyDescent="0.3">
      <c r="M677" s="4" t="s">
        <v>324</v>
      </c>
    </row>
    <row r="678" spans="13:13" x14ac:dyDescent="0.3">
      <c r="M678" s="4" t="s">
        <v>324</v>
      </c>
    </row>
    <row r="679" spans="13:13" x14ac:dyDescent="0.3">
      <c r="M679" s="4" t="s">
        <v>324</v>
      </c>
    </row>
    <row r="680" spans="13:13" x14ac:dyDescent="0.3">
      <c r="M680" s="4" t="s">
        <v>324</v>
      </c>
    </row>
    <row r="681" spans="13:13" x14ac:dyDescent="0.3">
      <c r="M681" s="4" t="s">
        <v>324</v>
      </c>
    </row>
    <row r="682" spans="13:13" x14ac:dyDescent="0.3">
      <c r="M682" s="4" t="s">
        <v>324</v>
      </c>
    </row>
    <row r="683" spans="13:13" x14ac:dyDescent="0.3">
      <c r="M683" s="4" t="s">
        <v>324</v>
      </c>
    </row>
    <row r="684" spans="13:13" x14ac:dyDescent="0.3">
      <c r="M684" s="4" t="s">
        <v>324</v>
      </c>
    </row>
    <row r="685" spans="13:13" x14ac:dyDescent="0.3">
      <c r="M685" s="4" t="s">
        <v>324</v>
      </c>
    </row>
    <row r="686" spans="13:13" x14ac:dyDescent="0.3">
      <c r="M686" s="4" t="s">
        <v>324</v>
      </c>
    </row>
    <row r="687" spans="13:13" x14ac:dyDescent="0.3">
      <c r="M687" s="4" t="s">
        <v>324</v>
      </c>
    </row>
    <row r="688" spans="13:13" x14ac:dyDescent="0.3">
      <c r="M688" s="4" t="s">
        <v>324</v>
      </c>
    </row>
    <row r="689" spans="13:13" x14ac:dyDescent="0.3">
      <c r="M689" s="4" t="s">
        <v>324</v>
      </c>
    </row>
    <row r="690" spans="13:13" x14ac:dyDescent="0.3">
      <c r="M690" s="4" t="s">
        <v>324</v>
      </c>
    </row>
    <row r="691" spans="13:13" x14ac:dyDescent="0.3">
      <c r="M691" s="4" t="s">
        <v>324</v>
      </c>
    </row>
    <row r="692" spans="13:13" x14ac:dyDescent="0.3">
      <c r="M692" s="4" t="s">
        <v>324</v>
      </c>
    </row>
    <row r="693" spans="13:13" x14ac:dyDescent="0.3">
      <c r="M693" s="4" t="s">
        <v>324</v>
      </c>
    </row>
    <row r="694" spans="13:13" x14ac:dyDescent="0.3">
      <c r="M694" s="4" t="s">
        <v>324</v>
      </c>
    </row>
    <row r="695" spans="13:13" x14ac:dyDescent="0.3">
      <c r="M695" s="4" t="s">
        <v>324</v>
      </c>
    </row>
    <row r="696" spans="13:13" x14ac:dyDescent="0.3">
      <c r="M696" s="4" t="s">
        <v>324</v>
      </c>
    </row>
    <row r="697" spans="13:13" x14ac:dyDescent="0.3">
      <c r="M697" s="4" t="s">
        <v>324</v>
      </c>
    </row>
    <row r="698" spans="13:13" x14ac:dyDescent="0.3">
      <c r="M698" s="4" t="s">
        <v>324</v>
      </c>
    </row>
    <row r="699" spans="13:13" x14ac:dyDescent="0.3">
      <c r="M699" s="4" t="s">
        <v>324</v>
      </c>
    </row>
    <row r="700" spans="13:13" x14ac:dyDescent="0.3">
      <c r="M700" s="4" t="s">
        <v>324</v>
      </c>
    </row>
    <row r="701" spans="13:13" x14ac:dyDescent="0.3">
      <c r="M701" s="4" t="s">
        <v>324</v>
      </c>
    </row>
    <row r="702" spans="13:13" x14ac:dyDescent="0.3">
      <c r="M702" s="4" t="s">
        <v>324</v>
      </c>
    </row>
    <row r="703" spans="13:13" x14ac:dyDescent="0.3">
      <c r="M703" s="4" t="s">
        <v>324</v>
      </c>
    </row>
    <row r="704" spans="13:13" x14ac:dyDescent="0.3">
      <c r="M704" s="4" t="s">
        <v>324</v>
      </c>
    </row>
    <row r="705" spans="13:13" x14ac:dyDescent="0.3">
      <c r="M705" s="4" t="s">
        <v>324</v>
      </c>
    </row>
    <row r="706" spans="13:13" x14ac:dyDescent="0.3">
      <c r="M706" s="4" t="s">
        <v>324</v>
      </c>
    </row>
    <row r="707" spans="13:13" x14ac:dyDescent="0.3">
      <c r="M707" s="4" t="s">
        <v>324</v>
      </c>
    </row>
    <row r="708" spans="13:13" x14ac:dyDescent="0.3">
      <c r="M708" s="4" t="s">
        <v>324</v>
      </c>
    </row>
    <row r="709" spans="13:13" x14ac:dyDescent="0.3">
      <c r="M709" s="4" t="s">
        <v>324</v>
      </c>
    </row>
    <row r="710" spans="13:13" x14ac:dyDescent="0.3">
      <c r="M710" s="4" t="s">
        <v>324</v>
      </c>
    </row>
    <row r="711" spans="13:13" x14ac:dyDescent="0.3">
      <c r="M711" s="4" t="s">
        <v>324</v>
      </c>
    </row>
    <row r="712" spans="13:13" x14ac:dyDescent="0.3">
      <c r="M712" s="4" t="s">
        <v>324</v>
      </c>
    </row>
    <row r="713" spans="13:13" x14ac:dyDescent="0.3">
      <c r="M713" s="4" t="s">
        <v>324</v>
      </c>
    </row>
    <row r="714" spans="13:13" x14ac:dyDescent="0.3">
      <c r="M714" s="4" t="s">
        <v>324</v>
      </c>
    </row>
    <row r="715" spans="13:13" x14ac:dyDescent="0.3">
      <c r="M715" s="4" t="s">
        <v>324</v>
      </c>
    </row>
    <row r="716" spans="13:13" x14ac:dyDescent="0.3">
      <c r="M716" s="4" t="s">
        <v>324</v>
      </c>
    </row>
    <row r="717" spans="13:13" x14ac:dyDescent="0.3">
      <c r="M717" s="4" t="s">
        <v>324</v>
      </c>
    </row>
    <row r="718" spans="13:13" x14ac:dyDescent="0.3">
      <c r="M718" s="4" t="s">
        <v>324</v>
      </c>
    </row>
    <row r="719" spans="13:13" x14ac:dyDescent="0.3">
      <c r="M719" s="4" t="s">
        <v>324</v>
      </c>
    </row>
    <row r="720" spans="13:13" x14ac:dyDescent="0.3">
      <c r="M720" s="4" t="s">
        <v>324</v>
      </c>
    </row>
    <row r="721" spans="13:13" x14ac:dyDescent="0.3">
      <c r="M721" s="4" t="s">
        <v>324</v>
      </c>
    </row>
    <row r="722" spans="13:13" x14ac:dyDescent="0.3">
      <c r="M722" s="4" t="s">
        <v>324</v>
      </c>
    </row>
    <row r="723" spans="13:13" x14ac:dyDescent="0.3">
      <c r="M723" s="4" t="s">
        <v>324</v>
      </c>
    </row>
    <row r="724" spans="13:13" x14ac:dyDescent="0.3">
      <c r="M724" s="4" t="s">
        <v>324</v>
      </c>
    </row>
    <row r="725" spans="13:13" x14ac:dyDescent="0.3">
      <c r="M725" s="4" t="s">
        <v>324</v>
      </c>
    </row>
    <row r="726" spans="13:13" x14ac:dyDescent="0.3">
      <c r="M726" s="4" t="s">
        <v>324</v>
      </c>
    </row>
    <row r="727" spans="13:13" x14ac:dyDescent="0.3">
      <c r="M727" s="4" t="s">
        <v>324</v>
      </c>
    </row>
    <row r="728" spans="13:13" x14ac:dyDescent="0.3">
      <c r="M728" s="4" t="s">
        <v>324</v>
      </c>
    </row>
    <row r="729" spans="13:13" x14ac:dyDescent="0.3">
      <c r="M729" s="4" t="s">
        <v>324</v>
      </c>
    </row>
    <row r="730" spans="13:13" x14ac:dyDescent="0.3">
      <c r="M730" s="4" t="s">
        <v>324</v>
      </c>
    </row>
    <row r="731" spans="13:13" x14ac:dyDescent="0.3">
      <c r="M731" s="4" t="s">
        <v>324</v>
      </c>
    </row>
    <row r="732" spans="13:13" x14ac:dyDescent="0.3">
      <c r="M732" s="4" t="s">
        <v>324</v>
      </c>
    </row>
    <row r="733" spans="13:13" x14ac:dyDescent="0.3">
      <c r="M733" s="4" t="s">
        <v>324</v>
      </c>
    </row>
    <row r="734" spans="13:13" x14ac:dyDescent="0.3">
      <c r="M734" s="4" t="s">
        <v>324</v>
      </c>
    </row>
    <row r="735" spans="13:13" x14ac:dyDescent="0.3">
      <c r="M735" s="4" t="s">
        <v>324</v>
      </c>
    </row>
    <row r="736" spans="13:13" x14ac:dyDescent="0.3">
      <c r="M736" s="4" t="s">
        <v>324</v>
      </c>
    </row>
    <row r="737" spans="13:13" x14ac:dyDescent="0.3">
      <c r="M737" s="4" t="s">
        <v>324</v>
      </c>
    </row>
    <row r="738" spans="13:13" x14ac:dyDescent="0.3">
      <c r="M738" s="4" t="s">
        <v>324</v>
      </c>
    </row>
    <row r="739" spans="13:13" x14ac:dyDescent="0.3">
      <c r="M739" s="4" t="s">
        <v>324</v>
      </c>
    </row>
    <row r="740" spans="13:13" x14ac:dyDescent="0.3">
      <c r="M740" s="4" t="s">
        <v>324</v>
      </c>
    </row>
    <row r="741" spans="13:13" x14ac:dyDescent="0.3">
      <c r="M741" s="4" t="s">
        <v>324</v>
      </c>
    </row>
    <row r="742" spans="13:13" x14ac:dyDescent="0.3">
      <c r="M742" s="4" t="s">
        <v>324</v>
      </c>
    </row>
    <row r="743" spans="13:13" x14ac:dyDescent="0.3">
      <c r="M743" s="4" t="s">
        <v>324</v>
      </c>
    </row>
    <row r="744" spans="13:13" x14ac:dyDescent="0.3">
      <c r="M744" s="4" t="s">
        <v>324</v>
      </c>
    </row>
    <row r="745" spans="13:13" x14ac:dyDescent="0.3">
      <c r="M745" s="4" t="s">
        <v>324</v>
      </c>
    </row>
    <row r="746" spans="13:13" x14ac:dyDescent="0.3">
      <c r="M746" s="4" t="s">
        <v>324</v>
      </c>
    </row>
    <row r="747" spans="13:13" x14ac:dyDescent="0.3">
      <c r="M747" s="4" t="s">
        <v>324</v>
      </c>
    </row>
    <row r="748" spans="13:13" x14ac:dyDescent="0.3">
      <c r="M748" s="4" t="s">
        <v>324</v>
      </c>
    </row>
    <row r="749" spans="13:13" x14ac:dyDescent="0.3">
      <c r="M749" s="4" t="s">
        <v>324</v>
      </c>
    </row>
    <row r="750" spans="13:13" x14ac:dyDescent="0.3">
      <c r="M750" s="4" t="s">
        <v>324</v>
      </c>
    </row>
    <row r="751" spans="13:13" x14ac:dyDescent="0.3">
      <c r="M751" s="4" t="s">
        <v>324</v>
      </c>
    </row>
    <row r="752" spans="13:13" x14ac:dyDescent="0.3">
      <c r="M752" s="4" t="s">
        <v>324</v>
      </c>
    </row>
    <row r="753" spans="13:13" x14ac:dyDescent="0.3">
      <c r="M753" s="4" t="s">
        <v>324</v>
      </c>
    </row>
    <row r="754" spans="13:13" x14ac:dyDescent="0.3">
      <c r="M754" s="4" t="s">
        <v>324</v>
      </c>
    </row>
    <row r="755" spans="13:13" x14ac:dyDescent="0.3">
      <c r="M755" s="4" t="s">
        <v>324</v>
      </c>
    </row>
    <row r="756" spans="13:13" x14ac:dyDescent="0.3">
      <c r="M756" s="4" t="s">
        <v>324</v>
      </c>
    </row>
    <row r="757" spans="13:13" x14ac:dyDescent="0.3">
      <c r="M757" s="4" t="s">
        <v>324</v>
      </c>
    </row>
    <row r="758" spans="13:13" x14ac:dyDescent="0.3">
      <c r="M758" s="4" t="s">
        <v>324</v>
      </c>
    </row>
    <row r="759" spans="13:13" x14ac:dyDescent="0.3">
      <c r="M759" s="4" t="s">
        <v>324</v>
      </c>
    </row>
    <row r="760" spans="13:13" x14ac:dyDescent="0.3">
      <c r="M760" s="4" t="s">
        <v>324</v>
      </c>
    </row>
    <row r="761" spans="13:13" x14ac:dyDescent="0.3">
      <c r="M761" s="4" t="s">
        <v>324</v>
      </c>
    </row>
    <row r="762" spans="13:13" x14ac:dyDescent="0.3">
      <c r="M762" s="4" t="s">
        <v>324</v>
      </c>
    </row>
    <row r="763" spans="13:13" x14ac:dyDescent="0.3">
      <c r="M763" s="4" t="s">
        <v>324</v>
      </c>
    </row>
    <row r="764" spans="13:13" x14ac:dyDescent="0.3">
      <c r="M764" s="4" t="s">
        <v>324</v>
      </c>
    </row>
    <row r="765" spans="13:13" x14ac:dyDescent="0.3">
      <c r="M765" s="4" t="s">
        <v>324</v>
      </c>
    </row>
    <row r="766" spans="13:13" x14ac:dyDescent="0.3">
      <c r="M766" s="4" t="s">
        <v>324</v>
      </c>
    </row>
    <row r="767" spans="13:13" x14ac:dyDescent="0.3">
      <c r="M767" s="4" t="s">
        <v>324</v>
      </c>
    </row>
    <row r="768" spans="13:13" x14ac:dyDescent="0.3">
      <c r="M768" s="4" t="s">
        <v>324</v>
      </c>
    </row>
    <row r="769" spans="13:13" x14ac:dyDescent="0.3">
      <c r="M769" s="4" t="s">
        <v>324</v>
      </c>
    </row>
    <row r="770" spans="13:13" x14ac:dyDescent="0.3">
      <c r="M770" s="4" t="s">
        <v>324</v>
      </c>
    </row>
    <row r="771" spans="13:13" x14ac:dyDescent="0.3">
      <c r="M771" s="4" t="s">
        <v>324</v>
      </c>
    </row>
    <row r="772" spans="13:13" x14ac:dyDescent="0.3">
      <c r="M772" s="4" t="s">
        <v>324</v>
      </c>
    </row>
    <row r="773" spans="13:13" x14ac:dyDescent="0.3">
      <c r="M773" s="4" t="s">
        <v>324</v>
      </c>
    </row>
    <row r="774" spans="13:13" x14ac:dyDescent="0.3">
      <c r="M774" s="4" t="s">
        <v>324</v>
      </c>
    </row>
    <row r="775" spans="13:13" x14ac:dyDescent="0.3">
      <c r="M775" s="4" t="s">
        <v>324</v>
      </c>
    </row>
    <row r="776" spans="13:13" x14ac:dyDescent="0.3">
      <c r="M776" s="4" t="s">
        <v>324</v>
      </c>
    </row>
    <row r="777" spans="13:13" x14ac:dyDescent="0.3">
      <c r="M777" s="4" t="s">
        <v>324</v>
      </c>
    </row>
    <row r="778" spans="13:13" x14ac:dyDescent="0.3">
      <c r="M778" s="4" t="s">
        <v>324</v>
      </c>
    </row>
    <row r="779" spans="13:13" x14ac:dyDescent="0.3">
      <c r="M779" s="4" t="s">
        <v>324</v>
      </c>
    </row>
    <row r="780" spans="13:13" x14ac:dyDescent="0.3">
      <c r="M780" s="4" t="s">
        <v>324</v>
      </c>
    </row>
    <row r="781" spans="13:13" x14ac:dyDescent="0.3">
      <c r="M781" s="4" t="s">
        <v>324</v>
      </c>
    </row>
    <row r="782" spans="13:13" x14ac:dyDescent="0.3">
      <c r="M782" s="4" t="s">
        <v>324</v>
      </c>
    </row>
    <row r="783" spans="13:13" x14ac:dyDescent="0.3">
      <c r="M783" s="4" t="s">
        <v>324</v>
      </c>
    </row>
    <row r="784" spans="13:13" x14ac:dyDescent="0.3">
      <c r="M784" s="4" t="s">
        <v>324</v>
      </c>
    </row>
    <row r="785" spans="13:13" x14ac:dyDescent="0.3">
      <c r="M785" s="4" t="s">
        <v>324</v>
      </c>
    </row>
    <row r="786" spans="13:13" x14ac:dyDescent="0.3">
      <c r="M786" s="4" t="s">
        <v>324</v>
      </c>
    </row>
    <row r="787" spans="13:13" x14ac:dyDescent="0.3">
      <c r="M787" s="4" t="s">
        <v>324</v>
      </c>
    </row>
    <row r="788" spans="13:13" x14ac:dyDescent="0.3">
      <c r="M788" s="4" t="s">
        <v>324</v>
      </c>
    </row>
    <row r="789" spans="13:13" x14ac:dyDescent="0.3">
      <c r="M789" s="4" t="s">
        <v>324</v>
      </c>
    </row>
    <row r="790" spans="13:13" x14ac:dyDescent="0.3">
      <c r="M790" s="4" t="s">
        <v>324</v>
      </c>
    </row>
    <row r="791" spans="13:13" x14ac:dyDescent="0.3">
      <c r="M791" s="4" t="s">
        <v>324</v>
      </c>
    </row>
    <row r="792" spans="13:13" x14ac:dyDescent="0.3">
      <c r="M792" s="4" t="s">
        <v>324</v>
      </c>
    </row>
    <row r="793" spans="13:13" x14ac:dyDescent="0.3">
      <c r="M793" s="4" t="s">
        <v>324</v>
      </c>
    </row>
    <row r="794" spans="13:13" x14ac:dyDescent="0.3">
      <c r="M794" s="4" t="s">
        <v>324</v>
      </c>
    </row>
    <row r="795" spans="13:13" x14ac:dyDescent="0.3">
      <c r="M795" s="4" t="s">
        <v>324</v>
      </c>
    </row>
    <row r="796" spans="13:13" x14ac:dyDescent="0.3">
      <c r="M796" s="4" t="s">
        <v>324</v>
      </c>
    </row>
    <row r="797" spans="13:13" x14ac:dyDescent="0.3">
      <c r="M797" s="4" t="s">
        <v>324</v>
      </c>
    </row>
    <row r="798" spans="13:13" x14ac:dyDescent="0.3">
      <c r="M798" s="4" t="s">
        <v>324</v>
      </c>
    </row>
    <row r="799" spans="13:13" x14ac:dyDescent="0.3">
      <c r="M799" s="4" t="s">
        <v>324</v>
      </c>
    </row>
    <row r="800" spans="13:13" x14ac:dyDescent="0.3">
      <c r="M800" s="4" t="s">
        <v>324</v>
      </c>
    </row>
    <row r="801" spans="13:13" x14ac:dyDescent="0.3">
      <c r="M801" s="4" t="s">
        <v>324</v>
      </c>
    </row>
    <row r="802" spans="13:13" x14ac:dyDescent="0.3">
      <c r="M802" s="4" t="s">
        <v>324</v>
      </c>
    </row>
    <row r="803" spans="13:13" x14ac:dyDescent="0.3">
      <c r="M803" s="4" t="s">
        <v>324</v>
      </c>
    </row>
    <row r="804" spans="13:13" x14ac:dyDescent="0.3">
      <c r="M804" s="4" t="s">
        <v>324</v>
      </c>
    </row>
    <row r="805" spans="13:13" x14ac:dyDescent="0.3">
      <c r="M805" s="4" t="s">
        <v>324</v>
      </c>
    </row>
    <row r="806" spans="13:13" x14ac:dyDescent="0.3">
      <c r="M806" s="4" t="s">
        <v>324</v>
      </c>
    </row>
    <row r="807" spans="13:13" x14ac:dyDescent="0.3">
      <c r="M807" s="4" t="s">
        <v>324</v>
      </c>
    </row>
    <row r="808" spans="13:13" x14ac:dyDescent="0.3">
      <c r="M808" s="4" t="s">
        <v>324</v>
      </c>
    </row>
    <row r="809" spans="13:13" x14ac:dyDescent="0.3">
      <c r="M809" s="4" t="s">
        <v>324</v>
      </c>
    </row>
    <row r="810" spans="13:13" x14ac:dyDescent="0.3">
      <c r="M810" s="4" t="s">
        <v>324</v>
      </c>
    </row>
    <row r="811" spans="13:13" x14ac:dyDescent="0.3">
      <c r="M811" s="4" t="s">
        <v>324</v>
      </c>
    </row>
    <row r="812" spans="13:13" x14ac:dyDescent="0.3">
      <c r="M812" s="4" t="s">
        <v>324</v>
      </c>
    </row>
    <row r="813" spans="13:13" x14ac:dyDescent="0.3">
      <c r="M813" s="4" t="s">
        <v>324</v>
      </c>
    </row>
    <row r="814" spans="13:13" x14ac:dyDescent="0.3">
      <c r="M814" s="4" t="s">
        <v>324</v>
      </c>
    </row>
    <row r="815" spans="13:13" x14ac:dyDescent="0.3">
      <c r="M815" s="4" t="s">
        <v>324</v>
      </c>
    </row>
    <row r="816" spans="13:13" x14ac:dyDescent="0.3">
      <c r="M816" s="4" t="s">
        <v>324</v>
      </c>
    </row>
    <row r="817" spans="13:13" x14ac:dyDescent="0.3">
      <c r="M817" s="4" t="s">
        <v>324</v>
      </c>
    </row>
    <row r="818" spans="13:13" x14ac:dyDescent="0.3">
      <c r="M818" s="4" t="s">
        <v>324</v>
      </c>
    </row>
    <row r="819" spans="13:13" x14ac:dyDescent="0.3">
      <c r="M819" s="4" t="s">
        <v>324</v>
      </c>
    </row>
    <row r="820" spans="13:13" x14ac:dyDescent="0.3">
      <c r="M820" s="4" t="s">
        <v>324</v>
      </c>
    </row>
    <row r="821" spans="13:13" x14ac:dyDescent="0.3">
      <c r="M821" s="4" t="s">
        <v>324</v>
      </c>
    </row>
    <row r="822" spans="13:13" x14ac:dyDescent="0.3">
      <c r="M822" s="4" t="s">
        <v>324</v>
      </c>
    </row>
    <row r="823" spans="13:13" x14ac:dyDescent="0.3">
      <c r="M823" s="4" t="s">
        <v>324</v>
      </c>
    </row>
    <row r="824" spans="13:13" x14ac:dyDescent="0.3">
      <c r="M824" s="4" t="s">
        <v>324</v>
      </c>
    </row>
    <row r="825" spans="13:13" x14ac:dyDescent="0.3">
      <c r="M825" s="4" t="s">
        <v>324</v>
      </c>
    </row>
    <row r="826" spans="13:13" x14ac:dyDescent="0.3">
      <c r="M826" s="4" t="s">
        <v>324</v>
      </c>
    </row>
    <row r="827" spans="13:13" x14ac:dyDescent="0.3">
      <c r="M827" s="4" t="s">
        <v>324</v>
      </c>
    </row>
    <row r="828" spans="13:13" x14ac:dyDescent="0.3">
      <c r="M828" s="4" t="s">
        <v>324</v>
      </c>
    </row>
    <row r="829" spans="13:13" x14ac:dyDescent="0.3">
      <c r="M829" s="4" t="s">
        <v>324</v>
      </c>
    </row>
    <row r="830" spans="13:13" x14ac:dyDescent="0.3">
      <c r="M830" s="4" t="s">
        <v>324</v>
      </c>
    </row>
    <row r="831" spans="13:13" x14ac:dyDescent="0.3">
      <c r="M831" s="4" t="s">
        <v>324</v>
      </c>
    </row>
    <row r="832" spans="13:13" x14ac:dyDescent="0.3">
      <c r="M832" s="4" t="s">
        <v>324</v>
      </c>
    </row>
    <row r="833" spans="13:13" x14ac:dyDescent="0.3">
      <c r="M833" s="4" t="s">
        <v>324</v>
      </c>
    </row>
    <row r="834" spans="13:13" x14ac:dyDescent="0.3">
      <c r="M834" s="4" t="s">
        <v>324</v>
      </c>
    </row>
    <row r="835" spans="13:13" x14ac:dyDescent="0.3">
      <c r="M835" s="4" t="s">
        <v>324</v>
      </c>
    </row>
    <row r="836" spans="13:13" x14ac:dyDescent="0.3">
      <c r="M836" s="4" t="s">
        <v>324</v>
      </c>
    </row>
    <row r="837" spans="13:13" x14ac:dyDescent="0.3">
      <c r="M837" s="4" t="s">
        <v>324</v>
      </c>
    </row>
    <row r="838" spans="13:13" x14ac:dyDescent="0.3">
      <c r="M838" s="4" t="s">
        <v>324</v>
      </c>
    </row>
    <row r="839" spans="13:13" x14ac:dyDescent="0.3">
      <c r="M839" s="4" t="s">
        <v>324</v>
      </c>
    </row>
    <row r="840" spans="13:13" x14ac:dyDescent="0.3">
      <c r="M840" s="4" t="s">
        <v>324</v>
      </c>
    </row>
    <row r="841" spans="13:13" x14ac:dyDescent="0.3">
      <c r="M841" s="4" t="s">
        <v>324</v>
      </c>
    </row>
    <row r="842" spans="13:13" x14ac:dyDescent="0.3">
      <c r="M842" s="4" t="s">
        <v>324</v>
      </c>
    </row>
    <row r="843" spans="13:13" x14ac:dyDescent="0.3">
      <c r="M843" s="4" t="s">
        <v>324</v>
      </c>
    </row>
    <row r="844" spans="13:13" x14ac:dyDescent="0.3">
      <c r="M844" s="4" t="s">
        <v>324</v>
      </c>
    </row>
    <row r="845" spans="13:13" x14ac:dyDescent="0.3">
      <c r="M845" s="4" t="s">
        <v>324</v>
      </c>
    </row>
    <row r="846" spans="13:13" x14ac:dyDescent="0.3">
      <c r="M846" s="4" t="s">
        <v>324</v>
      </c>
    </row>
    <row r="847" spans="13:13" x14ac:dyDescent="0.3">
      <c r="M847" s="4" t="s">
        <v>324</v>
      </c>
    </row>
    <row r="848" spans="13:13" x14ac:dyDescent="0.3">
      <c r="M848" s="4" t="s">
        <v>324</v>
      </c>
    </row>
    <row r="849" spans="13:13" x14ac:dyDescent="0.3">
      <c r="M849" s="4" t="s">
        <v>324</v>
      </c>
    </row>
    <row r="850" spans="13:13" x14ac:dyDescent="0.3">
      <c r="M850" s="4" t="s">
        <v>324</v>
      </c>
    </row>
    <row r="851" spans="13:13" x14ac:dyDescent="0.3">
      <c r="M851" s="4" t="s">
        <v>324</v>
      </c>
    </row>
    <row r="852" spans="13:13" x14ac:dyDescent="0.3">
      <c r="M852" s="4" t="s">
        <v>324</v>
      </c>
    </row>
    <row r="853" spans="13:13" x14ac:dyDescent="0.3">
      <c r="M853" s="4" t="s">
        <v>324</v>
      </c>
    </row>
    <row r="854" spans="13:13" x14ac:dyDescent="0.3">
      <c r="M854" s="4" t="s">
        <v>324</v>
      </c>
    </row>
    <row r="855" spans="13:13" x14ac:dyDescent="0.3">
      <c r="M855" s="4" t="s">
        <v>324</v>
      </c>
    </row>
    <row r="856" spans="13:13" x14ac:dyDescent="0.3">
      <c r="M856" s="4" t="s">
        <v>324</v>
      </c>
    </row>
    <row r="857" spans="13:13" x14ac:dyDescent="0.3">
      <c r="M857" s="4" t="s">
        <v>324</v>
      </c>
    </row>
    <row r="858" spans="13:13" x14ac:dyDescent="0.3">
      <c r="M858" s="4" t="s">
        <v>324</v>
      </c>
    </row>
    <row r="859" spans="13:13" x14ac:dyDescent="0.3">
      <c r="M859" s="4" t="s">
        <v>324</v>
      </c>
    </row>
    <row r="860" spans="13:13" x14ac:dyDescent="0.3">
      <c r="M860" s="4" t="s">
        <v>324</v>
      </c>
    </row>
    <row r="861" spans="13:13" x14ac:dyDescent="0.3">
      <c r="M861" s="4" t="s">
        <v>324</v>
      </c>
    </row>
    <row r="862" spans="13:13" x14ac:dyDescent="0.3">
      <c r="M862" s="4" t="s">
        <v>324</v>
      </c>
    </row>
    <row r="863" spans="13:13" x14ac:dyDescent="0.3">
      <c r="M863" s="4" t="s">
        <v>324</v>
      </c>
    </row>
    <row r="864" spans="13:13" x14ac:dyDescent="0.3">
      <c r="M864" s="4" t="s">
        <v>324</v>
      </c>
    </row>
    <row r="865" spans="13:13" x14ac:dyDescent="0.3">
      <c r="M865" s="4" t="s">
        <v>324</v>
      </c>
    </row>
    <row r="866" spans="13:13" x14ac:dyDescent="0.3">
      <c r="M866" s="4" t="s">
        <v>324</v>
      </c>
    </row>
    <row r="867" spans="13:13" x14ac:dyDescent="0.3">
      <c r="M867" s="4" t="s">
        <v>324</v>
      </c>
    </row>
    <row r="868" spans="13:13" x14ac:dyDescent="0.3">
      <c r="M868" s="4" t="s">
        <v>324</v>
      </c>
    </row>
    <row r="869" spans="13:13" x14ac:dyDescent="0.3">
      <c r="M869" s="4" t="s">
        <v>324</v>
      </c>
    </row>
    <row r="870" spans="13:13" x14ac:dyDescent="0.3">
      <c r="M870" s="4" t="s">
        <v>324</v>
      </c>
    </row>
    <row r="871" spans="13:13" x14ac:dyDescent="0.3">
      <c r="M871" s="4" t="s">
        <v>324</v>
      </c>
    </row>
    <row r="872" spans="13:13" x14ac:dyDescent="0.3">
      <c r="M872" s="4" t="s">
        <v>324</v>
      </c>
    </row>
    <row r="873" spans="13:13" x14ac:dyDescent="0.3">
      <c r="M873" s="4" t="s">
        <v>324</v>
      </c>
    </row>
    <row r="874" spans="13:13" x14ac:dyDescent="0.3">
      <c r="M874" s="4" t="s">
        <v>324</v>
      </c>
    </row>
    <row r="875" spans="13:13" x14ac:dyDescent="0.3">
      <c r="M875" s="4" t="s">
        <v>324</v>
      </c>
    </row>
    <row r="876" spans="13:13" x14ac:dyDescent="0.3">
      <c r="M876" s="4" t="s">
        <v>324</v>
      </c>
    </row>
    <row r="877" spans="13:13" x14ac:dyDescent="0.3">
      <c r="M877" s="4" t="s">
        <v>324</v>
      </c>
    </row>
    <row r="878" spans="13:13" x14ac:dyDescent="0.3">
      <c r="M878" s="4" t="s">
        <v>324</v>
      </c>
    </row>
    <row r="879" spans="13:13" x14ac:dyDescent="0.3">
      <c r="M879" s="4" t="s">
        <v>324</v>
      </c>
    </row>
    <row r="880" spans="13:13" x14ac:dyDescent="0.3">
      <c r="M880" s="4" t="s">
        <v>324</v>
      </c>
    </row>
    <row r="881" spans="13:13" x14ac:dyDescent="0.3">
      <c r="M881" s="4" t="s">
        <v>324</v>
      </c>
    </row>
    <row r="882" spans="13:13" x14ac:dyDescent="0.3">
      <c r="M882" s="4" t="s">
        <v>324</v>
      </c>
    </row>
    <row r="883" spans="13:13" x14ac:dyDescent="0.3">
      <c r="M883" s="4" t="s">
        <v>324</v>
      </c>
    </row>
    <row r="884" spans="13:13" x14ac:dyDescent="0.3">
      <c r="M884" s="4" t="s">
        <v>324</v>
      </c>
    </row>
    <row r="885" spans="13:13" x14ac:dyDescent="0.3">
      <c r="M885" s="4" t="s">
        <v>324</v>
      </c>
    </row>
    <row r="886" spans="13:13" x14ac:dyDescent="0.3">
      <c r="M886" s="4" t="s">
        <v>324</v>
      </c>
    </row>
    <row r="887" spans="13:13" x14ac:dyDescent="0.3">
      <c r="M887" s="4" t="s">
        <v>324</v>
      </c>
    </row>
    <row r="888" spans="13:13" x14ac:dyDescent="0.3">
      <c r="M888" s="4" t="s">
        <v>324</v>
      </c>
    </row>
    <row r="889" spans="13:13" x14ac:dyDescent="0.3">
      <c r="M889" s="4" t="s">
        <v>324</v>
      </c>
    </row>
    <row r="890" spans="13:13" x14ac:dyDescent="0.3">
      <c r="M890" s="4" t="s">
        <v>324</v>
      </c>
    </row>
    <row r="891" spans="13:13" x14ac:dyDescent="0.3">
      <c r="M891" s="4" t="s">
        <v>324</v>
      </c>
    </row>
    <row r="892" spans="13:13" x14ac:dyDescent="0.3">
      <c r="M892" s="4" t="s">
        <v>324</v>
      </c>
    </row>
    <row r="893" spans="13:13" x14ac:dyDescent="0.3">
      <c r="M893" s="4" t="s">
        <v>324</v>
      </c>
    </row>
    <row r="894" spans="13:13" x14ac:dyDescent="0.3">
      <c r="M894" s="4" t="s">
        <v>324</v>
      </c>
    </row>
    <row r="895" spans="13:13" x14ac:dyDescent="0.3">
      <c r="M895" s="4" t="s">
        <v>324</v>
      </c>
    </row>
    <row r="896" spans="13:13" x14ac:dyDescent="0.3">
      <c r="M896" s="4" t="s">
        <v>324</v>
      </c>
    </row>
    <row r="897" spans="13:13" x14ac:dyDescent="0.3">
      <c r="M897" s="4" t="s">
        <v>324</v>
      </c>
    </row>
    <row r="898" spans="13:13" x14ac:dyDescent="0.3">
      <c r="M898" s="4" t="s">
        <v>324</v>
      </c>
    </row>
    <row r="899" spans="13:13" x14ac:dyDescent="0.3">
      <c r="M899" s="4" t="s">
        <v>324</v>
      </c>
    </row>
    <row r="900" spans="13:13" x14ac:dyDescent="0.3">
      <c r="M900" s="4" t="s">
        <v>324</v>
      </c>
    </row>
    <row r="901" spans="13:13" x14ac:dyDescent="0.3">
      <c r="M901" s="4" t="s">
        <v>324</v>
      </c>
    </row>
    <row r="902" spans="13:13" x14ac:dyDescent="0.3">
      <c r="M902" s="4" t="s">
        <v>324</v>
      </c>
    </row>
    <row r="903" spans="13:13" x14ac:dyDescent="0.3">
      <c r="M903" s="4" t="s">
        <v>324</v>
      </c>
    </row>
    <row r="904" spans="13:13" x14ac:dyDescent="0.3">
      <c r="M904" s="4" t="s">
        <v>324</v>
      </c>
    </row>
    <row r="905" spans="13:13" x14ac:dyDescent="0.3">
      <c r="M905" s="4" t="s">
        <v>324</v>
      </c>
    </row>
    <row r="906" spans="13:13" x14ac:dyDescent="0.3">
      <c r="M906" s="4" t="s">
        <v>324</v>
      </c>
    </row>
    <row r="907" spans="13:13" x14ac:dyDescent="0.3">
      <c r="M907" s="4" t="s">
        <v>324</v>
      </c>
    </row>
    <row r="908" spans="13:13" x14ac:dyDescent="0.3">
      <c r="M908" s="4" t="s">
        <v>324</v>
      </c>
    </row>
    <row r="909" spans="13:13" x14ac:dyDescent="0.3">
      <c r="M909" s="4" t="s">
        <v>324</v>
      </c>
    </row>
    <row r="910" spans="13:13" x14ac:dyDescent="0.3">
      <c r="M910" s="4" t="s">
        <v>324</v>
      </c>
    </row>
    <row r="911" spans="13:13" x14ac:dyDescent="0.3">
      <c r="M911" s="4" t="s">
        <v>324</v>
      </c>
    </row>
    <row r="912" spans="13:13" x14ac:dyDescent="0.3">
      <c r="M912" s="4" t="s">
        <v>324</v>
      </c>
    </row>
    <row r="913" spans="13:13" x14ac:dyDescent="0.3">
      <c r="M913" s="4" t="s">
        <v>324</v>
      </c>
    </row>
    <row r="914" spans="13:13" x14ac:dyDescent="0.3">
      <c r="M914" s="4" t="s">
        <v>324</v>
      </c>
    </row>
    <row r="915" spans="13:13" x14ac:dyDescent="0.3">
      <c r="M915" s="4" t="s">
        <v>324</v>
      </c>
    </row>
    <row r="916" spans="13:13" x14ac:dyDescent="0.3">
      <c r="M916" s="4" t="s">
        <v>324</v>
      </c>
    </row>
    <row r="917" spans="13:13" x14ac:dyDescent="0.3">
      <c r="M917" s="4" t="s">
        <v>324</v>
      </c>
    </row>
    <row r="918" spans="13:13" x14ac:dyDescent="0.3">
      <c r="M918" s="4" t="s">
        <v>324</v>
      </c>
    </row>
    <row r="919" spans="13:13" x14ac:dyDescent="0.3">
      <c r="M919" s="4" t="s">
        <v>324</v>
      </c>
    </row>
    <row r="920" spans="13:13" x14ac:dyDescent="0.3">
      <c r="M920" s="4" t="s">
        <v>324</v>
      </c>
    </row>
    <row r="921" spans="13:13" x14ac:dyDescent="0.3">
      <c r="M921" s="4" t="s">
        <v>324</v>
      </c>
    </row>
    <row r="922" spans="13:13" x14ac:dyDescent="0.3">
      <c r="M922" s="4" t="s">
        <v>324</v>
      </c>
    </row>
    <row r="923" spans="13:13" x14ac:dyDescent="0.3">
      <c r="M923" s="4" t="s">
        <v>324</v>
      </c>
    </row>
    <row r="924" spans="13:13" x14ac:dyDescent="0.3">
      <c r="M924" s="4" t="s">
        <v>324</v>
      </c>
    </row>
    <row r="925" spans="13:13" x14ac:dyDescent="0.3">
      <c r="M925" s="4" t="s">
        <v>324</v>
      </c>
    </row>
    <row r="926" spans="13:13" x14ac:dyDescent="0.3">
      <c r="M926" s="4" t="s">
        <v>324</v>
      </c>
    </row>
    <row r="927" spans="13:13" x14ac:dyDescent="0.3">
      <c r="M927" s="4" t="s">
        <v>324</v>
      </c>
    </row>
    <row r="928" spans="13:13" x14ac:dyDescent="0.3">
      <c r="M928" s="4" t="s">
        <v>324</v>
      </c>
    </row>
    <row r="929" spans="13:13" x14ac:dyDescent="0.3">
      <c r="M929" s="4" t="s">
        <v>324</v>
      </c>
    </row>
    <row r="930" spans="13:13" x14ac:dyDescent="0.3">
      <c r="M930" s="4" t="s">
        <v>324</v>
      </c>
    </row>
    <row r="931" spans="13:13" x14ac:dyDescent="0.3">
      <c r="M931" s="4" t="s">
        <v>324</v>
      </c>
    </row>
    <row r="932" spans="13:13" x14ac:dyDescent="0.3">
      <c r="M932" s="4" t="s">
        <v>324</v>
      </c>
    </row>
    <row r="933" spans="13:13" x14ac:dyDescent="0.3">
      <c r="M933" s="4" t="s">
        <v>324</v>
      </c>
    </row>
    <row r="934" spans="13:13" x14ac:dyDescent="0.3">
      <c r="M934" s="4" t="s">
        <v>324</v>
      </c>
    </row>
    <row r="935" spans="13:13" x14ac:dyDescent="0.3">
      <c r="M935" s="4" t="s">
        <v>324</v>
      </c>
    </row>
    <row r="936" spans="13:13" x14ac:dyDescent="0.3">
      <c r="M936" s="4" t="s">
        <v>324</v>
      </c>
    </row>
    <row r="937" spans="13:13" x14ac:dyDescent="0.3">
      <c r="M937" s="4" t="s">
        <v>324</v>
      </c>
    </row>
    <row r="938" spans="13:13" x14ac:dyDescent="0.3">
      <c r="M938" s="4" t="s">
        <v>324</v>
      </c>
    </row>
    <row r="939" spans="13:13" x14ac:dyDescent="0.3">
      <c r="M939" s="4" t="s">
        <v>324</v>
      </c>
    </row>
    <row r="940" spans="13:13" x14ac:dyDescent="0.3">
      <c r="M940" s="4" t="s">
        <v>324</v>
      </c>
    </row>
    <row r="941" spans="13:13" x14ac:dyDescent="0.3">
      <c r="M941" s="4" t="s">
        <v>324</v>
      </c>
    </row>
    <row r="942" spans="13:13" x14ac:dyDescent="0.3">
      <c r="M942" s="4" t="s">
        <v>324</v>
      </c>
    </row>
    <row r="943" spans="13:13" x14ac:dyDescent="0.3">
      <c r="M943" s="4" t="s">
        <v>324</v>
      </c>
    </row>
    <row r="944" spans="13:13" x14ac:dyDescent="0.3">
      <c r="M944" s="4" t="s">
        <v>324</v>
      </c>
    </row>
    <row r="945" spans="13:13" x14ac:dyDescent="0.3">
      <c r="M945" s="4" t="s">
        <v>324</v>
      </c>
    </row>
    <row r="946" spans="13:13" x14ac:dyDescent="0.3">
      <c r="M946" s="4" t="s">
        <v>324</v>
      </c>
    </row>
    <row r="947" spans="13:13" x14ac:dyDescent="0.3">
      <c r="M947" s="4" t="s">
        <v>324</v>
      </c>
    </row>
    <row r="948" spans="13:13" x14ac:dyDescent="0.3">
      <c r="M948" s="4" t="s">
        <v>324</v>
      </c>
    </row>
    <row r="949" spans="13:13" x14ac:dyDescent="0.3">
      <c r="M949" s="4" t="s">
        <v>324</v>
      </c>
    </row>
    <row r="950" spans="13:13" x14ac:dyDescent="0.3">
      <c r="M950" s="4" t="s">
        <v>324</v>
      </c>
    </row>
    <row r="951" spans="13:13" x14ac:dyDescent="0.3">
      <c r="M951" s="4" t="s">
        <v>324</v>
      </c>
    </row>
    <row r="952" spans="13:13" x14ac:dyDescent="0.3">
      <c r="M952" s="4" t="s">
        <v>324</v>
      </c>
    </row>
    <row r="953" spans="13:13" x14ac:dyDescent="0.3">
      <c r="M953" s="4" t="s">
        <v>324</v>
      </c>
    </row>
    <row r="954" spans="13:13" x14ac:dyDescent="0.3">
      <c r="M954" s="4" t="s">
        <v>324</v>
      </c>
    </row>
    <row r="955" spans="13:13" x14ac:dyDescent="0.3">
      <c r="M955" s="4" t="s">
        <v>324</v>
      </c>
    </row>
    <row r="956" spans="13:13" x14ac:dyDescent="0.3">
      <c r="M956" s="4" t="s">
        <v>324</v>
      </c>
    </row>
    <row r="957" spans="13:13" x14ac:dyDescent="0.3">
      <c r="M957" s="4" t="s">
        <v>324</v>
      </c>
    </row>
    <row r="958" spans="13:13" x14ac:dyDescent="0.3">
      <c r="M958" s="4" t="s">
        <v>324</v>
      </c>
    </row>
    <row r="959" spans="13:13" x14ac:dyDescent="0.3">
      <c r="M959" s="4" t="s">
        <v>324</v>
      </c>
    </row>
    <row r="960" spans="13:13" x14ac:dyDescent="0.3">
      <c r="M960" s="4" t="s">
        <v>324</v>
      </c>
    </row>
    <row r="961" spans="13:13" x14ac:dyDescent="0.3">
      <c r="M961" s="4" t="s">
        <v>324</v>
      </c>
    </row>
    <row r="962" spans="13:13" x14ac:dyDescent="0.3">
      <c r="M962" s="4" t="s">
        <v>324</v>
      </c>
    </row>
    <row r="963" spans="13:13" x14ac:dyDescent="0.3">
      <c r="M963" s="4" t="s">
        <v>324</v>
      </c>
    </row>
    <row r="964" spans="13:13" x14ac:dyDescent="0.3">
      <c r="M964" s="4" t="s">
        <v>324</v>
      </c>
    </row>
    <row r="965" spans="13:13" x14ac:dyDescent="0.3">
      <c r="M965" s="4" t="s">
        <v>324</v>
      </c>
    </row>
    <row r="966" spans="13:13" x14ac:dyDescent="0.3">
      <c r="M966" s="4" t="s">
        <v>324</v>
      </c>
    </row>
    <row r="967" spans="13:13" x14ac:dyDescent="0.3">
      <c r="M967" s="4" t="s">
        <v>324</v>
      </c>
    </row>
    <row r="968" spans="13:13" x14ac:dyDescent="0.3">
      <c r="M968" s="4" t="s">
        <v>324</v>
      </c>
    </row>
    <row r="969" spans="13:13" x14ac:dyDescent="0.3">
      <c r="M969" s="4" t="s">
        <v>324</v>
      </c>
    </row>
    <row r="970" spans="13:13" x14ac:dyDescent="0.3">
      <c r="M970" s="4" t="s">
        <v>324</v>
      </c>
    </row>
    <row r="971" spans="13:13" x14ac:dyDescent="0.3">
      <c r="M971" s="4" t="s">
        <v>324</v>
      </c>
    </row>
    <row r="972" spans="13:13" x14ac:dyDescent="0.3">
      <c r="M972" s="4" t="s">
        <v>324</v>
      </c>
    </row>
    <row r="973" spans="13:13" x14ac:dyDescent="0.3">
      <c r="M973" s="4" t="s">
        <v>324</v>
      </c>
    </row>
    <row r="974" spans="13:13" x14ac:dyDescent="0.3">
      <c r="M974" s="4" t="s">
        <v>324</v>
      </c>
    </row>
    <row r="975" spans="13:13" x14ac:dyDescent="0.3">
      <c r="M975" s="4" t="s">
        <v>324</v>
      </c>
    </row>
    <row r="976" spans="13:13" x14ac:dyDescent="0.3">
      <c r="M976" s="4" t="s">
        <v>324</v>
      </c>
    </row>
    <row r="977" spans="13:13" x14ac:dyDescent="0.3">
      <c r="M977" s="4" t="s">
        <v>324</v>
      </c>
    </row>
    <row r="978" spans="13:13" x14ac:dyDescent="0.3">
      <c r="M978" s="4" t="s">
        <v>324</v>
      </c>
    </row>
    <row r="979" spans="13:13" x14ac:dyDescent="0.3">
      <c r="M979" s="4" t="s">
        <v>324</v>
      </c>
    </row>
    <row r="980" spans="13:13" x14ac:dyDescent="0.3">
      <c r="M980" s="4" t="s">
        <v>324</v>
      </c>
    </row>
    <row r="981" spans="13:13" x14ac:dyDescent="0.3">
      <c r="M981" s="4" t="s">
        <v>324</v>
      </c>
    </row>
    <row r="982" spans="13:13" x14ac:dyDescent="0.3">
      <c r="M982" s="4" t="s">
        <v>324</v>
      </c>
    </row>
    <row r="983" spans="13:13" x14ac:dyDescent="0.3">
      <c r="M983" s="4" t="s">
        <v>324</v>
      </c>
    </row>
    <row r="984" spans="13:13" x14ac:dyDescent="0.3">
      <c r="M984" s="4" t="s">
        <v>324</v>
      </c>
    </row>
    <row r="985" spans="13:13" x14ac:dyDescent="0.3">
      <c r="M985" s="4" t="s">
        <v>324</v>
      </c>
    </row>
    <row r="986" spans="13:13" x14ac:dyDescent="0.3">
      <c r="M986" s="4" t="s">
        <v>324</v>
      </c>
    </row>
    <row r="987" spans="13:13" x14ac:dyDescent="0.3">
      <c r="M987" s="4" t="s">
        <v>324</v>
      </c>
    </row>
    <row r="988" spans="13:13" x14ac:dyDescent="0.3">
      <c r="M988" s="4" t="s">
        <v>324</v>
      </c>
    </row>
    <row r="989" spans="13:13" x14ac:dyDescent="0.3">
      <c r="M989" s="4" t="s">
        <v>324</v>
      </c>
    </row>
    <row r="990" spans="13:13" x14ac:dyDescent="0.3">
      <c r="M990" s="4" t="s">
        <v>324</v>
      </c>
    </row>
    <row r="991" spans="13:13" x14ac:dyDescent="0.3">
      <c r="M991" s="4" t="s">
        <v>324</v>
      </c>
    </row>
    <row r="992" spans="13:13" x14ac:dyDescent="0.3">
      <c r="M992" s="4" t="s">
        <v>324</v>
      </c>
    </row>
    <row r="993" spans="13:13" x14ac:dyDescent="0.3">
      <c r="M993" s="4" t="s">
        <v>324</v>
      </c>
    </row>
    <row r="994" spans="13:13" x14ac:dyDescent="0.3">
      <c r="M994" s="4" t="s">
        <v>324</v>
      </c>
    </row>
    <row r="995" spans="13:13" x14ac:dyDescent="0.3">
      <c r="M995" s="4" t="s">
        <v>324</v>
      </c>
    </row>
    <row r="996" spans="13:13" x14ac:dyDescent="0.3">
      <c r="M996" s="4" t="s">
        <v>324</v>
      </c>
    </row>
    <row r="997" spans="13:13" x14ac:dyDescent="0.3">
      <c r="M997" s="4" t="s">
        <v>324</v>
      </c>
    </row>
    <row r="998" spans="13:13" x14ac:dyDescent="0.3">
      <c r="M998" s="4" t="s">
        <v>324</v>
      </c>
    </row>
    <row r="999" spans="13:13" x14ac:dyDescent="0.3">
      <c r="M999" s="4" t="s">
        <v>324</v>
      </c>
    </row>
    <row r="1000" spans="13:13" x14ac:dyDescent="0.3">
      <c r="M1000" s="4" t="s">
        <v>324</v>
      </c>
    </row>
    <row r="1001" spans="13:13" x14ac:dyDescent="0.3">
      <c r="M1001" s="4" t="s">
        <v>324</v>
      </c>
    </row>
    <row r="1002" spans="13:13" x14ac:dyDescent="0.3">
      <c r="M1002" s="4" t="s">
        <v>324</v>
      </c>
    </row>
    <row r="1003" spans="13:13" x14ac:dyDescent="0.3">
      <c r="M1003" s="4" t="s">
        <v>324</v>
      </c>
    </row>
    <row r="1004" spans="13:13" x14ac:dyDescent="0.3">
      <c r="M1004" s="4" t="s">
        <v>324</v>
      </c>
    </row>
    <row r="1005" spans="13:13" x14ac:dyDescent="0.3">
      <c r="M1005" s="4" t="s">
        <v>324</v>
      </c>
    </row>
    <row r="1006" spans="13:13" x14ac:dyDescent="0.3">
      <c r="M1006" s="4" t="s">
        <v>324</v>
      </c>
    </row>
    <row r="1007" spans="13:13" x14ac:dyDescent="0.3">
      <c r="M1007" s="4" t="s">
        <v>324</v>
      </c>
    </row>
    <row r="1008" spans="13:13" x14ac:dyDescent="0.3">
      <c r="M1008" s="4" t="s">
        <v>324</v>
      </c>
    </row>
    <row r="1009" spans="13:13" x14ac:dyDescent="0.3">
      <c r="M1009" s="4" t="s">
        <v>324</v>
      </c>
    </row>
    <row r="1010" spans="13:13" x14ac:dyDescent="0.3">
      <c r="M1010" s="4" t="s">
        <v>324</v>
      </c>
    </row>
    <row r="1011" spans="13:13" x14ac:dyDescent="0.3">
      <c r="M1011" s="4" t="s">
        <v>324</v>
      </c>
    </row>
    <row r="1012" spans="13:13" x14ac:dyDescent="0.3">
      <c r="M1012" s="4" t="s">
        <v>324</v>
      </c>
    </row>
    <row r="1013" spans="13:13" x14ac:dyDescent="0.3">
      <c r="M1013" s="4" t="s">
        <v>324</v>
      </c>
    </row>
    <row r="1014" spans="13:13" x14ac:dyDescent="0.3">
      <c r="M1014" s="4" t="s">
        <v>324</v>
      </c>
    </row>
    <row r="1015" spans="13:13" x14ac:dyDescent="0.3">
      <c r="M1015" s="4" t="s">
        <v>324</v>
      </c>
    </row>
    <row r="1016" spans="13:13" x14ac:dyDescent="0.3">
      <c r="M1016" s="4" t="s">
        <v>324</v>
      </c>
    </row>
    <row r="1017" spans="13:13" x14ac:dyDescent="0.3">
      <c r="M1017" s="4" t="s">
        <v>324</v>
      </c>
    </row>
    <row r="1018" spans="13:13" x14ac:dyDescent="0.3">
      <c r="M1018" s="4" t="s">
        <v>324</v>
      </c>
    </row>
    <row r="1019" spans="13:13" x14ac:dyDescent="0.3">
      <c r="M1019" s="4" t="s">
        <v>324</v>
      </c>
    </row>
    <row r="1020" spans="13:13" x14ac:dyDescent="0.3">
      <c r="M1020" s="4" t="s">
        <v>324</v>
      </c>
    </row>
    <row r="1021" spans="13:13" x14ac:dyDescent="0.3">
      <c r="M1021" s="4" t="s">
        <v>324</v>
      </c>
    </row>
    <row r="1022" spans="13:13" x14ac:dyDescent="0.3">
      <c r="M1022" s="4" t="s">
        <v>324</v>
      </c>
    </row>
    <row r="1023" spans="13:13" x14ac:dyDescent="0.3">
      <c r="M1023" s="4" t="s">
        <v>324</v>
      </c>
    </row>
    <row r="1024" spans="13:13" x14ac:dyDescent="0.3">
      <c r="M1024" s="4" t="s">
        <v>324</v>
      </c>
    </row>
    <row r="1025" spans="13:13" x14ac:dyDescent="0.3">
      <c r="M1025" s="4" t="s">
        <v>324</v>
      </c>
    </row>
    <row r="1026" spans="13:13" x14ac:dyDescent="0.3">
      <c r="M1026" s="4" t="s">
        <v>324</v>
      </c>
    </row>
    <row r="1027" spans="13:13" x14ac:dyDescent="0.3">
      <c r="M1027" s="4" t="s">
        <v>324</v>
      </c>
    </row>
    <row r="1028" spans="13:13" x14ac:dyDescent="0.3">
      <c r="M1028" s="4" t="s">
        <v>324</v>
      </c>
    </row>
    <row r="1029" spans="13:13" x14ac:dyDescent="0.3">
      <c r="M1029" s="4" t="s">
        <v>324</v>
      </c>
    </row>
    <row r="1030" spans="13:13" x14ac:dyDescent="0.3">
      <c r="M1030" s="4" t="s">
        <v>324</v>
      </c>
    </row>
    <row r="1031" spans="13:13" x14ac:dyDescent="0.3">
      <c r="M1031" s="4" t="s">
        <v>324</v>
      </c>
    </row>
    <row r="1032" spans="13:13" x14ac:dyDescent="0.3">
      <c r="M1032" s="4" t="s">
        <v>324</v>
      </c>
    </row>
    <row r="1033" spans="13:13" x14ac:dyDescent="0.3">
      <c r="M1033" s="4" t="s">
        <v>324</v>
      </c>
    </row>
    <row r="1034" spans="13:13" x14ac:dyDescent="0.3">
      <c r="M1034" s="4" t="s">
        <v>324</v>
      </c>
    </row>
    <row r="1035" spans="13:13" x14ac:dyDescent="0.3">
      <c r="M1035" s="4" t="s">
        <v>324</v>
      </c>
    </row>
    <row r="1036" spans="13:13" x14ac:dyDescent="0.3">
      <c r="M1036" s="4" t="s">
        <v>324</v>
      </c>
    </row>
    <row r="1037" spans="13:13" x14ac:dyDescent="0.3">
      <c r="M1037" s="4" t="s">
        <v>324</v>
      </c>
    </row>
    <row r="1038" spans="13:13" x14ac:dyDescent="0.3">
      <c r="M1038" s="4" t="s">
        <v>324</v>
      </c>
    </row>
    <row r="1039" spans="13:13" x14ac:dyDescent="0.3">
      <c r="M1039" s="4" t="s">
        <v>324</v>
      </c>
    </row>
    <row r="1040" spans="13:13" x14ac:dyDescent="0.3">
      <c r="M1040" s="4" t="s">
        <v>324</v>
      </c>
    </row>
    <row r="1041" spans="13:13" x14ac:dyDescent="0.3">
      <c r="M1041" s="4" t="s">
        <v>324</v>
      </c>
    </row>
    <row r="1042" spans="13:13" x14ac:dyDescent="0.3">
      <c r="M1042" s="4" t="s">
        <v>324</v>
      </c>
    </row>
    <row r="1043" spans="13:13" x14ac:dyDescent="0.3">
      <c r="M1043" s="4" t="s">
        <v>324</v>
      </c>
    </row>
    <row r="1044" spans="13:13" x14ac:dyDescent="0.3">
      <c r="M1044" s="4" t="s">
        <v>324</v>
      </c>
    </row>
    <row r="1045" spans="13:13" x14ac:dyDescent="0.3">
      <c r="M1045" s="4" t="s">
        <v>324</v>
      </c>
    </row>
    <row r="1046" spans="13:13" x14ac:dyDescent="0.3">
      <c r="M1046" s="4" t="s">
        <v>324</v>
      </c>
    </row>
    <row r="1047" spans="13:13" x14ac:dyDescent="0.3">
      <c r="M1047" s="4" t="s">
        <v>324</v>
      </c>
    </row>
    <row r="1048" spans="13:13" x14ac:dyDescent="0.3">
      <c r="M1048" s="4" t="s">
        <v>324</v>
      </c>
    </row>
    <row r="1049" spans="13:13" x14ac:dyDescent="0.3">
      <c r="M1049" s="4" t="s">
        <v>324</v>
      </c>
    </row>
    <row r="1050" spans="13:13" x14ac:dyDescent="0.3">
      <c r="M1050" s="4" t="s">
        <v>324</v>
      </c>
    </row>
    <row r="1051" spans="13:13" x14ac:dyDescent="0.3">
      <c r="M1051" s="4" t="s">
        <v>324</v>
      </c>
    </row>
    <row r="1052" spans="13:13" x14ac:dyDescent="0.3">
      <c r="M1052" s="4" t="s">
        <v>324</v>
      </c>
    </row>
    <row r="1053" spans="13:13" x14ac:dyDescent="0.3">
      <c r="M1053" s="4" t="s">
        <v>324</v>
      </c>
    </row>
    <row r="1054" spans="13:13" x14ac:dyDescent="0.3">
      <c r="M1054" s="4" t="s">
        <v>324</v>
      </c>
    </row>
    <row r="1055" spans="13:13" x14ac:dyDescent="0.3">
      <c r="M1055" s="4" t="s">
        <v>324</v>
      </c>
    </row>
    <row r="1056" spans="13:13" x14ac:dyDescent="0.3">
      <c r="M1056" s="4" t="s">
        <v>324</v>
      </c>
    </row>
    <row r="1057" spans="13:13" x14ac:dyDescent="0.3">
      <c r="M1057" s="4" t="s">
        <v>324</v>
      </c>
    </row>
    <row r="1058" spans="13:13" x14ac:dyDescent="0.3">
      <c r="M1058" s="4" t="s">
        <v>324</v>
      </c>
    </row>
    <row r="1059" spans="13:13" x14ac:dyDescent="0.3">
      <c r="M1059" s="4" t="s">
        <v>324</v>
      </c>
    </row>
    <row r="1060" spans="13:13" x14ac:dyDescent="0.3">
      <c r="M1060" s="4" t="s">
        <v>324</v>
      </c>
    </row>
    <row r="1061" spans="13:13" x14ac:dyDescent="0.3">
      <c r="M1061" s="4" t="s">
        <v>324</v>
      </c>
    </row>
    <row r="1062" spans="13:13" x14ac:dyDescent="0.3">
      <c r="M1062" s="4" t="s">
        <v>324</v>
      </c>
    </row>
    <row r="1063" spans="13:13" x14ac:dyDescent="0.3">
      <c r="M1063" s="4" t="s">
        <v>324</v>
      </c>
    </row>
    <row r="1064" spans="13:13" x14ac:dyDescent="0.3">
      <c r="M1064" s="4" t="s">
        <v>324</v>
      </c>
    </row>
    <row r="1065" spans="13:13" x14ac:dyDescent="0.3">
      <c r="M1065" s="4" t="s">
        <v>324</v>
      </c>
    </row>
    <row r="1066" spans="13:13" x14ac:dyDescent="0.3">
      <c r="M1066" s="4" t="s">
        <v>324</v>
      </c>
    </row>
    <row r="1067" spans="13:13" x14ac:dyDescent="0.3">
      <c r="M1067" s="4" t="s">
        <v>324</v>
      </c>
    </row>
    <row r="1068" spans="13:13" x14ac:dyDescent="0.3">
      <c r="M1068" s="4" t="s">
        <v>324</v>
      </c>
    </row>
    <row r="1069" spans="13:13" x14ac:dyDescent="0.3">
      <c r="M1069" s="4" t="s">
        <v>324</v>
      </c>
    </row>
    <row r="1070" spans="13:13" x14ac:dyDescent="0.3">
      <c r="M1070" s="4" t="s">
        <v>324</v>
      </c>
    </row>
    <row r="1071" spans="13:13" x14ac:dyDescent="0.3">
      <c r="M1071" s="4" t="s">
        <v>324</v>
      </c>
    </row>
    <row r="1072" spans="13:13" x14ac:dyDescent="0.3">
      <c r="M1072" s="4" t="s">
        <v>324</v>
      </c>
    </row>
    <row r="1073" spans="13:13" x14ac:dyDescent="0.3">
      <c r="M1073" s="4" t="s">
        <v>324</v>
      </c>
    </row>
    <row r="1074" spans="13:13" x14ac:dyDescent="0.3">
      <c r="M1074" s="4" t="s">
        <v>324</v>
      </c>
    </row>
    <row r="1075" spans="13:13" x14ac:dyDescent="0.3">
      <c r="M1075" s="4" t="s">
        <v>324</v>
      </c>
    </row>
    <row r="1076" spans="13:13" x14ac:dyDescent="0.3">
      <c r="M1076" s="4" t="s">
        <v>324</v>
      </c>
    </row>
    <row r="1077" spans="13:13" x14ac:dyDescent="0.3">
      <c r="M1077" s="4" t="s">
        <v>324</v>
      </c>
    </row>
    <row r="1078" spans="13:13" x14ac:dyDescent="0.3">
      <c r="M1078" s="4" t="s">
        <v>324</v>
      </c>
    </row>
    <row r="1079" spans="13:13" x14ac:dyDescent="0.3">
      <c r="M1079" s="4" t="s">
        <v>324</v>
      </c>
    </row>
    <row r="1080" spans="13:13" x14ac:dyDescent="0.3">
      <c r="M1080" s="4" t="s">
        <v>324</v>
      </c>
    </row>
    <row r="1081" spans="13:13" x14ac:dyDescent="0.3">
      <c r="M1081" s="4" t="s">
        <v>324</v>
      </c>
    </row>
    <row r="1082" spans="13:13" x14ac:dyDescent="0.3">
      <c r="M1082" s="4" t="s">
        <v>324</v>
      </c>
    </row>
    <row r="1083" spans="13:13" x14ac:dyDescent="0.3">
      <c r="M1083" s="4" t="s">
        <v>324</v>
      </c>
    </row>
    <row r="1084" spans="13:13" x14ac:dyDescent="0.3">
      <c r="M1084" s="4" t="s">
        <v>324</v>
      </c>
    </row>
    <row r="1085" spans="13:13" x14ac:dyDescent="0.3">
      <c r="M1085" s="4" t="s">
        <v>324</v>
      </c>
    </row>
    <row r="1086" spans="13:13" x14ac:dyDescent="0.3">
      <c r="M1086" s="4" t="s">
        <v>324</v>
      </c>
    </row>
    <row r="1087" spans="13:13" x14ac:dyDescent="0.3">
      <c r="M1087" s="4" t="s">
        <v>324</v>
      </c>
    </row>
    <row r="1088" spans="13:13" x14ac:dyDescent="0.3">
      <c r="M1088" s="4" t="s">
        <v>324</v>
      </c>
    </row>
    <row r="1089" spans="13:13" x14ac:dyDescent="0.3">
      <c r="M1089" s="4" t="s">
        <v>324</v>
      </c>
    </row>
    <row r="1090" spans="13:13" x14ac:dyDescent="0.3">
      <c r="M1090" s="4" t="s">
        <v>324</v>
      </c>
    </row>
    <row r="1091" spans="13:13" x14ac:dyDescent="0.3">
      <c r="M1091" s="4" t="s">
        <v>324</v>
      </c>
    </row>
    <row r="1092" spans="13:13" x14ac:dyDescent="0.3">
      <c r="M1092" s="4" t="s">
        <v>324</v>
      </c>
    </row>
    <row r="1093" spans="13:13" x14ac:dyDescent="0.3">
      <c r="M1093" s="4" t="s">
        <v>324</v>
      </c>
    </row>
    <row r="1094" spans="13:13" x14ac:dyDescent="0.3">
      <c r="M1094" s="4" t="s">
        <v>324</v>
      </c>
    </row>
    <row r="1095" spans="13:13" x14ac:dyDescent="0.3">
      <c r="M1095" s="4" t="s">
        <v>324</v>
      </c>
    </row>
    <row r="1096" spans="13:13" x14ac:dyDescent="0.3">
      <c r="M1096" s="4" t="s">
        <v>324</v>
      </c>
    </row>
    <row r="1097" spans="13:13" x14ac:dyDescent="0.3">
      <c r="M1097" s="4" t="s">
        <v>324</v>
      </c>
    </row>
    <row r="1098" spans="13:13" x14ac:dyDescent="0.3">
      <c r="M1098" s="4" t="s">
        <v>324</v>
      </c>
    </row>
    <row r="1099" spans="13:13" x14ac:dyDescent="0.3">
      <c r="M1099" s="4" t="s">
        <v>324</v>
      </c>
    </row>
    <row r="1100" spans="13:13" x14ac:dyDescent="0.3">
      <c r="M1100" s="4" t="s">
        <v>324</v>
      </c>
    </row>
    <row r="1101" spans="13:13" x14ac:dyDescent="0.3">
      <c r="M1101" s="4" t="s">
        <v>324</v>
      </c>
    </row>
    <row r="1102" spans="13:13" x14ac:dyDescent="0.3">
      <c r="M1102" s="4" t="s">
        <v>324</v>
      </c>
    </row>
    <row r="1103" spans="13:13" x14ac:dyDescent="0.3">
      <c r="M1103" s="4" t="s">
        <v>324</v>
      </c>
    </row>
    <row r="1104" spans="13:13" x14ac:dyDescent="0.3">
      <c r="M1104" s="4" t="s">
        <v>324</v>
      </c>
    </row>
    <row r="1105" spans="13:13" x14ac:dyDescent="0.3">
      <c r="M1105" s="4" t="s">
        <v>324</v>
      </c>
    </row>
    <row r="1106" spans="13:13" x14ac:dyDescent="0.3">
      <c r="M1106" s="4" t="s">
        <v>324</v>
      </c>
    </row>
    <row r="1107" spans="13:13" x14ac:dyDescent="0.3">
      <c r="M1107" s="4" t="s">
        <v>324</v>
      </c>
    </row>
    <row r="1108" spans="13:13" x14ac:dyDescent="0.3">
      <c r="M1108" s="4" t="s">
        <v>324</v>
      </c>
    </row>
    <row r="1109" spans="13:13" x14ac:dyDescent="0.3">
      <c r="M1109" s="4" t="s">
        <v>324</v>
      </c>
    </row>
    <row r="1110" spans="13:13" x14ac:dyDescent="0.3">
      <c r="M1110" s="4" t="s">
        <v>324</v>
      </c>
    </row>
    <row r="1111" spans="13:13" x14ac:dyDescent="0.3">
      <c r="M1111" s="4" t="s">
        <v>324</v>
      </c>
    </row>
    <row r="1112" spans="13:13" x14ac:dyDescent="0.3">
      <c r="M1112" s="4" t="s">
        <v>324</v>
      </c>
    </row>
    <row r="1113" spans="13:13" x14ac:dyDescent="0.3">
      <c r="M1113" s="4" t="s">
        <v>324</v>
      </c>
    </row>
    <row r="1114" spans="13:13" x14ac:dyDescent="0.3">
      <c r="M1114" s="4" t="s">
        <v>324</v>
      </c>
    </row>
    <row r="1115" spans="13:13" x14ac:dyDescent="0.3">
      <c r="M1115" s="4" t="s">
        <v>324</v>
      </c>
    </row>
    <row r="1116" spans="13:13" x14ac:dyDescent="0.3">
      <c r="M1116" s="4" t="s">
        <v>324</v>
      </c>
    </row>
    <row r="1117" spans="13:13" x14ac:dyDescent="0.3">
      <c r="M1117" s="4" t="s">
        <v>324</v>
      </c>
    </row>
    <row r="1118" spans="13:13" x14ac:dyDescent="0.3">
      <c r="M1118" s="4" t="s">
        <v>324</v>
      </c>
    </row>
    <row r="1119" spans="13:13" x14ac:dyDescent="0.3">
      <c r="M1119" s="4" t="s">
        <v>324</v>
      </c>
    </row>
    <row r="1120" spans="13:13" x14ac:dyDescent="0.3">
      <c r="M1120" s="4" t="s">
        <v>324</v>
      </c>
    </row>
    <row r="1121" spans="13:13" x14ac:dyDescent="0.3">
      <c r="M1121" s="4" t="s">
        <v>324</v>
      </c>
    </row>
    <row r="1122" spans="13:13" x14ac:dyDescent="0.3">
      <c r="M1122" s="4" t="s">
        <v>324</v>
      </c>
    </row>
    <row r="1123" spans="13:13" x14ac:dyDescent="0.3">
      <c r="M1123" s="4" t="s">
        <v>324</v>
      </c>
    </row>
    <row r="1124" spans="13:13" x14ac:dyDescent="0.3">
      <c r="M1124" s="4" t="s">
        <v>324</v>
      </c>
    </row>
    <row r="1125" spans="13:13" x14ac:dyDescent="0.3">
      <c r="M1125" s="4" t="s">
        <v>324</v>
      </c>
    </row>
    <row r="1126" spans="13:13" x14ac:dyDescent="0.3">
      <c r="M1126" s="4" t="s">
        <v>324</v>
      </c>
    </row>
    <row r="1127" spans="13:13" x14ac:dyDescent="0.3">
      <c r="M1127" s="4" t="s">
        <v>324</v>
      </c>
    </row>
    <row r="1128" spans="13:13" x14ac:dyDescent="0.3">
      <c r="M1128" s="4" t="s">
        <v>324</v>
      </c>
    </row>
    <row r="1129" spans="13:13" x14ac:dyDescent="0.3">
      <c r="M1129" s="4" t="s">
        <v>324</v>
      </c>
    </row>
    <row r="1130" spans="13:13" x14ac:dyDescent="0.3">
      <c r="M1130" s="4" t="s">
        <v>324</v>
      </c>
    </row>
    <row r="1131" spans="13:13" x14ac:dyDescent="0.3">
      <c r="M1131" s="4" t="s">
        <v>324</v>
      </c>
    </row>
    <row r="1132" spans="13:13" x14ac:dyDescent="0.3">
      <c r="M1132" s="4" t="s">
        <v>324</v>
      </c>
    </row>
    <row r="1133" spans="13:13" x14ac:dyDescent="0.3">
      <c r="M1133" s="4" t="s">
        <v>324</v>
      </c>
    </row>
    <row r="1134" spans="13:13" x14ac:dyDescent="0.3">
      <c r="M1134" s="4" t="s">
        <v>324</v>
      </c>
    </row>
    <row r="1135" spans="13:13" x14ac:dyDescent="0.3">
      <c r="M1135" s="4" t="s">
        <v>324</v>
      </c>
    </row>
    <row r="1136" spans="13:13" x14ac:dyDescent="0.3">
      <c r="M1136" s="4" t="s">
        <v>324</v>
      </c>
    </row>
    <row r="1137" spans="13:13" x14ac:dyDescent="0.3">
      <c r="M1137" s="4" t="s">
        <v>324</v>
      </c>
    </row>
    <row r="1138" spans="13:13" x14ac:dyDescent="0.3">
      <c r="M1138" s="4" t="s">
        <v>324</v>
      </c>
    </row>
    <row r="1139" spans="13:13" x14ac:dyDescent="0.3">
      <c r="M1139" s="4" t="s">
        <v>324</v>
      </c>
    </row>
    <row r="1140" spans="13:13" x14ac:dyDescent="0.3">
      <c r="M1140" s="4" t="s">
        <v>324</v>
      </c>
    </row>
    <row r="1141" spans="13:13" x14ac:dyDescent="0.3">
      <c r="M1141" s="4" t="s">
        <v>324</v>
      </c>
    </row>
    <row r="1142" spans="13:13" x14ac:dyDescent="0.3">
      <c r="M1142" s="4" t="s">
        <v>324</v>
      </c>
    </row>
    <row r="1143" spans="13:13" x14ac:dyDescent="0.3">
      <c r="M1143" s="4" t="s">
        <v>324</v>
      </c>
    </row>
    <row r="1144" spans="13:13" x14ac:dyDescent="0.3">
      <c r="M1144" s="4" t="s">
        <v>324</v>
      </c>
    </row>
    <row r="1145" spans="13:13" x14ac:dyDescent="0.3">
      <c r="M1145" s="4" t="s">
        <v>324</v>
      </c>
    </row>
    <row r="1146" spans="13:13" x14ac:dyDescent="0.3">
      <c r="M1146" s="4" t="s">
        <v>324</v>
      </c>
    </row>
    <row r="1147" spans="13:13" x14ac:dyDescent="0.3">
      <c r="M1147" s="4" t="s">
        <v>324</v>
      </c>
    </row>
    <row r="1148" spans="13:13" x14ac:dyDescent="0.3">
      <c r="M1148" s="4" t="s">
        <v>324</v>
      </c>
    </row>
    <row r="1149" spans="13:13" x14ac:dyDescent="0.3">
      <c r="M1149" s="4" t="s">
        <v>324</v>
      </c>
    </row>
    <row r="1150" spans="13:13" x14ac:dyDescent="0.3">
      <c r="M1150" s="4" t="s">
        <v>324</v>
      </c>
    </row>
    <row r="1151" spans="13:13" x14ac:dyDescent="0.3">
      <c r="M1151" s="4" t="s">
        <v>324</v>
      </c>
    </row>
    <row r="1152" spans="13:13" x14ac:dyDescent="0.3">
      <c r="M1152" s="4" t="s">
        <v>324</v>
      </c>
    </row>
    <row r="1153" spans="13:13" x14ac:dyDescent="0.3">
      <c r="M1153" s="4" t="s">
        <v>324</v>
      </c>
    </row>
    <row r="1154" spans="13:13" x14ac:dyDescent="0.3">
      <c r="M1154" s="4" t="s">
        <v>324</v>
      </c>
    </row>
    <row r="1155" spans="13:13" x14ac:dyDescent="0.3">
      <c r="M1155" s="4" t="s">
        <v>324</v>
      </c>
    </row>
    <row r="1156" spans="13:13" x14ac:dyDescent="0.3">
      <c r="M1156" s="4" t="s">
        <v>324</v>
      </c>
    </row>
    <row r="1157" spans="13:13" x14ac:dyDescent="0.3">
      <c r="M1157" s="4" t="s">
        <v>324</v>
      </c>
    </row>
    <row r="1158" spans="13:13" x14ac:dyDescent="0.3">
      <c r="M1158" s="4" t="s">
        <v>324</v>
      </c>
    </row>
    <row r="1159" spans="13:13" x14ac:dyDescent="0.3">
      <c r="M1159" s="4" t="s">
        <v>324</v>
      </c>
    </row>
    <row r="1160" spans="13:13" x14ac:dyDescent="0.3">
      <c r="M1160" s="4" t="s">
        <v>324</v>
      </c>
    </row>
    <row r="1161" spans="13:13" x14ac:dyDescent="0.3">
      <c r="M1161" s="4" t="s">
        <v>324</v>
      </c>
    </row>
    <row r="1162" spans="13:13" x14ac:dyDescent="0.3">
      <c r="M1162" s="4" t="s">
        <v>324</v>
      </c>
    </row>
    <row r="1163" spans="13:13" x14ac:dyDescent="0.3">
      <c r="M1163" s="4" t="s">
        <v>324</v>
      </c>
    </row>
    <row r="1164" spans="13:13" x14ac:dyDescent="0.3">
      <c r="M1164" s="4" t="s">
        <v>324</v>
      </c>
    </row>
    <row r="1165" spans="13:13" x14ac:dyDescent="0.3">
      <c r="M1165" s="4" t="s">
        <v>324</v>
      </c>
    </row>
    <row r="1166" spans="13:13" x14ac:dyDescent="0.3">
      <c r="M1166" s="4" t="s">
        <v>324</v>
      </c>
    </row>
    <row r="1167" spans="13:13" x14ac:dyDescent="0.3">
      <c r="M1167" s="4" t="s">
        <v>324</v>
      </c>
    </row>
    <row r="1168" spans="13:13" x14ac:dyDescent="0.3">
      <c r="M1168" s="4" t="s">
        <v>324</v>
      </c>
    </row>
    <row r="1169" spans="13:13" x14ac:dyDescent="0.3">
      <c r="M1169" s="4" t="s">
        <v>324</v>
      </c>
    </row>
    <row r="1170" spans="13:13" x14ac:dyDescent="0.3">
      <c r="M1170" s="4" t="s">
        <v>324</v>
      </c>
    </row>
    <row r="1171" spans="13:13" x14ac:dyDescent="0.3">
      <c r="M1171" s="4" t="s">
        <v>324</v>
      </c>
    </row>
    <row r="1172" spans="13:13" x14ac:dyDescent="0.3">
      <c r="M1172" s="4" t="s">
        <v>324</v>
      </c>
    </row>
    <row r="1173" spans="13:13" x14ac:dyDescent="0.3">
      <c r="M1173" s="4" t="s">
        <v>324</v>
      </c>
    </row>
    <row r="1174" spans="13:13" x14ac:dyDescent="0.3">
      <c r="M1174" s="4" t="s">
        <v>324</v>
      </c>
    </row>
    <row r="1175" spans="13:13" x14ac:dyDescent="0.3">
      <c r="M1175" s="4" t="s">
        <v>324</v>
      </c>
    </row>
    <row r="1176" spans="13:13" x14ac:dyDescent="0.3">
      <c r="M1176" s="4" t="s">
        <v>324</v>
      </c>
    </row>
    <row r="1177" spans="13:13" x14ac:dyDescent="0.3">
      <c r="M1177" s="4" t="s">
        <v>324</v>
      </c>
    </row>
    <row r="1178" spans="13:13" x14ac:dyDescent="0.3">
      <c r="M1178" s="4" t="s">
        <v>324</v>
      </c>
    </row>
    <row r="1179" spans="13:13" x14ac:dyDescent="0.3">
      <c r="M1179" s="4" t="s">
        <v>324</v>
      </c>
    </row>
    <row r="1180" spans="13:13" x14ac:dyDescent="0.3">
      <c r="M1180" s="4" t="s">
        <v>324</v>
      </c>
    </row>
    <row r="1181" spans="13:13" x14ac:dyDescent="0.3">
      <c r="M1181" s="4" t="s">
        <v>324</v>
      </c>
    </row>
    <row r="1182" spans="13:13" x14ac:dyDescent="0.3">
      <c r="M1182" s="4" t="s">
        <v>324</v>
      </c>
    </row>
    <row r="1183" spans="13:13" x14ac:dyDescent="0.3">
      <c r="M1183" s="4" t="s">
        <v>324</v>
      </c>
    </row>
    <row r="1184" spans="13:13" x14ac:dyDescent="0.3">
      <c r="M1184" s="4" t="s">
        <v>324</v>
      </c>
    </row>
    <row r="1185" spans="13:13" x14ac:dyDescent="0.3">
      <c r="M1185" s="4" t="s">
        <v>324</v>
      </c>
    </row>
    <row r="1186" spans="13:13" x14ac:dyDescent="0.3">
      <c r="M1186" s="4" t="s">
        <v>324</v>
      </c>
    </row>
    <row r="1187" spans="13:13" x14ac:dyDescent="0.3">
      <c r="M1187" s="4" t="s">
        <v>324</v>
      </c>
    </row>
    <row r="1188" spans="13:13" x14ac:dyDescent="0.3">
      <c r="M1188" s="4" t="s">
        <v>324</v>
      </c>
    </row>
    <row r="1189" spans="13:13" x14ac:dyDescent="0.3">
      <c r="M1189" s="4" t="s">
        <v>324</v>
      </c>
    </row>
    <row r="1190" spans="13:13" x14ac:dyDescent="0.3">
      <c r="M1190" s="4" t="s">
        <v>324</v>
      </c>
    </row>
    <row r="1191" spans="13:13" x14ac:dyDescent="0.3">
      <c r="M1191" s="4" t="s">
        <v>324</v>
      </c>
    </row>
    <row r="1192" spans="13:13" x14ac:dyDescent="0.3">
      <c r="M1192" s="4" t="s">
        <v>324</v>
      </c>
    </row>
    <row r="1193" spans="13:13" x14ac:dyDescent="0.3">
      <c r="M1193" s="4" t="s">
        <v>324</v>
      </c>
    </row>
    <row r="1194" spans="13:13" x14ac:dyDescent="0.3">
      <c r="M1194" s="4" t="s">
        <v>324</v>
      </c>
    </row>
    <row r="1195" spans="13:13" x14ac:dyDescent="0.3">
      <c r="M1195" s="4" t="s">
        <v>324</v>
      </c>
    </row>
    <row r="1196" spans="13:13" x14ac:dyDescent="0.3">
      <c r="M1196" s="4" t="s">
        <v>324</v>
      </c>
    </row>
    <row r="1197" spans="13:13" x14ac:dyDescent="0.3">
      <c r="M1197" s="4" t="s">
        <v>324</v>
      </c>
    </row>
    <row r="1198" spans="13:13" x14ac:dyDescent="0.3">
      <c r="M1198" s="4" t="s">
        <v>324</v>
      </c>
    </row>
    <row r="1199" spans="13:13" x14ac:dyDescent="0.3">
      <c r="M1199" s="4" t="s">
        <v>324</v>
      </c>
    </row>
  </sheetData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7" tint="0.39997558519241921"/>
  </sheetPr>
  <dimension ref="A1:L139"/>
  <sheetViews>
    <sheetView showGridLines="0" workbookViewId="0">
      <selection activeCell="A29" sqref="A29"/>
    </sheetView>
  </sheetViews>
  <sheetFormatPr defaultRowHeight="15" x14ac:dyDescent="0.3"/>
  <cols>
    <col min="2" max="8" width="5.5703125" bestFit="1" customWidth="1"/>
    <col min="9" max="11" width="13.28515625" bestFit="1" customWidth="1"/>
    <col min="14" max="14" width="13.28515625" bestFit="1" customWidth="1"/>
    <col min="15" max="26" width="8.7109375" bestFit="1" customWidth="1"/>
  </cols>
  <sheetData>
    <row r="1" spans="1:12" ht="21.75" x14ac:dyDescent="0.45">
      <c r="A1" s="78" t="s">
        <v>304</v>
      </c>
    </row>
    <row r="2" spans="1:12" s="1" customFormat="1" x14ac:dyDescent="0.3">
      <c r="A2" s="3" t="s">
        <v>295</v>
      </c>
      <c r="B2" s="1" t="s">
        <v>241</v>
      </c>
    </row>
    <row r="5" spans="1:12" ht="19.5" x14ac:dyDescent="0.4">
      <c r="B5" s="129" t="s">
        <v>40</v>
      </c>
      <c r="C5" s="83"/>
      <c r="D5" s="83"/>
      <c r="E5" s="83"/>
      <c r="F5" s="83"/>
      <c r="G5" s="83"/>
      <c r="I5" s="131" t="s">
        <v>39</v>
      </c>
      <c r="J5" s="132"/>
      <c r="K5" s="132"/>
      <c r="L5" s="132"/>
    </row>
    <row r="6" spans="1:12" ht="19.5" x14ac:dyDescent="0.4">
      <c r="B6" s="6" t="s">
        <v>332</v>
      </c>
      <c r="I6" s="6" t="s">
        <v>118</v>
      </c>
    </row>
    <row r="7" spans="1:12" x14ac:dyDescent="0.3">
      <c r="B7" s="84" t="s">
        <v>333</v>
      </c>
      <c r="I7" s="84" t="s">
        <v>117</v>
      </c>
    </row>
    <row r="8" spans="1:12" ht="19.5" x14ac:dyDescent="0.4">
      <c r="B8" s="8"/>
    </row>
    <row r="9" spans="1:12" ht="19.5" x14ac:dyDescent="0.4">
      <c r="B9" s="6" t="s">
        <v>335</v>
      </c>
      <c r="I9" s="6" t="s">
        <v>119</v>
      </c>
    </row>
    <row r="10" spans="1:12" x14ac:dyDescent="0.3">
      <c r="B10" s="84" t="s">
        <v>334</v>
      </c>
      <c r="I10" s="84" t="s">
        <v>117</v>
      </c>
    </row>
    <row r="11" spans="1:12" x14ac:dyDescent="0.3">
      <c r="C11" s="5"/>
    </row>
    <row r="12" spans="1:12" x14ac:dyDescent="0.3">
      <c r="C12" s="5"/>
    </row>
    <row r="13" spans="1:12" ht="19.5" x14ac:dyDescent="0.4">
      <c r="B13" s="6" t="s">
        <v>802</v>
      </c>
      <c r="C13" s="5"/>
    </row>
    <row r="14" spans="1:12" ht="19.5" x14ac:dyDescent="0.4">
      <c r="B14" s="6"/>
      <c r="C14" s="5"/>
    </row>
    <row r="15" spans="1:12" x14ac:dyDescent="0.3">
      <c r="B15" s="5" t="s">
        <v>323</v>
      </c>
      <c r="C15" s="5" t="s">
        <v>326</v>
      </c>
      <c r="D15" s="10" t="s">
        <v>327</v>
      </c>
      <c r="E15" s="5" t="s">
        <v>328</v>
      </c>
      <c r="F15" s="5" t="s">
        <v>329</v>
      </c>
      <c r="G15" s="10" t="s">
        <v>330</v>
      </c>
      <c r="H15" s="5" t="s">
        <v>331</v>
      </c>
    </row>
    <row r="16" spans="1:12" x14ac:dyDescent="0.3">
      <c r="B16" s="7">
        <v>0.68791120840938302</v>
      </c>
      <c r="C16" s="7">
        <v>0.94032726978102055</v>
      </c>
      <c r="D16" s="9">
        <v>0.38704362769187539</v>
      </c>
      <c r="E16" s="7">
        <v>0.92507199713501409</v>
      </c>
      <c r="F16" s="7">
        <v>0.25201697429237724</v>
      </c>
      <c r="G16" s="9">
        <v>0.18832491303657628</v>
      </c>
      <c r="H16" s="7">
        <v>0.65341927563328306</v>
      </c>
    </row>
    <row r="17" spans="2:8" x14ac:dyDescent="0.3">
      <c r="B17" s="7">
        <v>0.58940938006824783</v>
      </c>
      <c r="C17" s="7">
        <v>0.51887493745389257</v>
      </c>
      <c r="D17" s="9">
        <v>0.80918698871435546</v>
      </c>
      <c r="E17" s="7">
        <v>0.57124598581087316</v>
      </c>
      <c r="F17" s="7">
        <v>0.84380891778218547</v>
      </c>
      <c r="G17" s="9">
        <v>0.51339368346364034</v>
      </c>
      <c r="H17" s="7">
        <v>0.45523622568493582</v>
      </c>
    </row>
    <row r="18" spans="2:8" x14ac:dyDescent="0.3">
      <c r="B18" s="7">
        <v>0.70024699775255361</v>
      </c>
      <c r="C18" s="7">
        <v>0.36595256386078034</v>
      </c>
      <c r="D18" s="9">
        <v>0.17213548814087765</v>
      </c>
      <c r="E18" s="7">
        <v>0.1973797068419742</v>
      </c>
      <c r="F18" s="7">
        <v>0.20849159937256445</v>
      </c>
      <c r="G18" s="9">
        <v>8.5098650482408722E-2</v>
      </c>
      <c r="H18" s="7">
        <v>0.57332700208651777</v>
      </c>
    </row>
    <row r="19" spans="2:8" x14ac:dyDescent="0.3">
      <c r="B19" s="7">
        <v>0.22463026855285761</v>
      </c>
      <c r="C19" s="7">
        <v>0.71165339040580355</v>
      </c>
      <c r="D19" s="9">
        <v>5.5494939600630122E-2</v>
      </c>
      <c r="E19" s="7">
        <v>0.61798449807675027</v>
      </c>
      <c r="F19" s="7">
        <v>0.83928977315566966</v>
      </c>
      <c r="G19" s="9">
        <v>0.2874035361688041</v>
      </c>
      <c r="H19" s="7">
        <v>0.44115990552860573</v>
      </c>
    </row>
    <row r="20" spans="2:8" x14ac:dyDescent="0.3">
      <c r="B20" s="7">
        <v>0.90402680518473399</v>
      </c>
      <c r="C20" s="7">
        <v>0.69749623221592927</v>
      </c>
      <c r="D20" s="9">
        <v>0.81249078356241444</v>
      </c>
      <c r="E20" s="7">
        <v>0.71300758766782413</v>
      </c>
      <c r="F20" s="7">
        <v>0.39570840344552849</v>
      </c>
      <c r="G20" s="9">
        <v>0.8613076328467193</v>
      </c>
      <c r="H20" s="7">
        <v>0.25393298454093394</v>
      </c>
    </row>
    <row r="21" spans="2:8" x14ac:dyDescent="0.3">
      <c r="B21" s="7">
        <v>0.79924490807059811</v>
      </c>
      <c r="C21" s="7">
        <v>0.14401336523621056</v>
      </c>
      <c r="D21" s="9">
        <v>2.9447697790316418E-2</v>
      </c>
      <c r="E21" s="7">
        <v>0.80583050025111547</v>
      </c>
      <c r="F21" s="7">
        <v>0.69147733209447382</v>
      </c>
      <c r="G21" s="9">
        <v>0.82268875918201589</v>
      </c>
      <c r="H21" s="7">
        <v>0.20102026173926041</v>
      </c>
    </row>
    <row r="22" spans="2:8" x14ac:dyDescent="0.3">
      <c r="B22" s="7">
        <v>0.12512706945599028</v>
      </c>
      <c r="C22" s="7">
        <v>0.2343799717905044</v>
      </c>
      <c r="D22" s="9">
        <v>0.66179656221518757</v>
      </c>
      <c r="E22" s="7">
        <v>0.44675321787768096</v>
      </c>
      <c r="F22" s="7">
        <v>0.32102039263889037</v>
      </c>
      <c r="G22" s="9">
        <v>0.1412094555414658</v>
      </c>
      <c r="H22" s="7">
        <v>0.22501649250657163</v>
      </c>
    </row>
    <row r="23" spans="2:8" x14ac:dyDescent="0.3">
      <c r="B23" s="7">
        <v>0.51155041590881467</v>
      </c>
      <c r="C23" s="7">
        <v>0.43118402718337823</v>
      </c>
      <c r="D23" s="9">
        <v>0.67123887854072772</v>
      </c>
      <c r="E23" s="7">
        <v>0.13856478030637076</v>
      </c>
      <c r="F23" s="7">
        <v>0.46985534162848563</v>
      </c>
      <c r="G23" s="9">
        <v>0.10401225780076295</v>
      </c>
      <c r="H23" s="7">
        <v>0.51104134695814718</v>
      </c>
    </row>
    <row r="24" spans="2:8" x14ac:dyDescent="0.3">
      <c r="B24" s="7">
        <v>0.67814860742543215</v>
      </c>
      <c r="C24" s="7">
        <v>0.96999271893964512</v>
      </c>
      <c r="D24" s="9">
        <v>0.48487108202201323</v>
      </c>
      <c r="E24" s="7">
        <v>0.83539130764104641</v>
      </c>
      <c r="F24" s="7">
        <v>0.48041401183317678</v>
      </c>
      <c r="G24" s="9">
        <v>0.76156681526678049</v>
      </c>
      <c r="H24" s="7">
        <v>0.44074593582085853</v>
      </c>
    </row>
    <row r="25" spans="2:8" x14ac:dyDescent="0.3">
      <c r="B25" s="7">
        <v>0.10807952330598924</v>
      </c>
      <c r="C25" s="7">
        <v>0.34467144898809066</v>
      </c>
      <c r="D25" s="9">
        <v>0.35376769099656724</v>
      </c>
      <c r="E25" s="7">
        <v>0.19390056739583805</v>
      </c>
      <c r="F25" s="7">
        <v>0.328588324359532</v>
      </c>
      <c r="G25" s="9">
        <v>0.26018179135186625</v>
      </c>
      <c r="H25" s="7">
        <v>0.25366558159983477</v>
      </c>
    </row>
    <row r="26" spans="2:8" x14ac:dyDescent="0.3">
      <c r="B26" s="9">
        <v>0.71599857425116675</v>
      </c>
      <c r="C26" s="9">
        <v>0.64488807834327933</v>
      </c>
      <c r="D26" s="9">
        <v>0.47117326918677627</v>
      </c>
      <c r="E26" s="9">
        <v>0.20497945464063982</v>
      </c>
      <c r="F26" s="9">
        <v>0.17971201412953963</v>
      </c>
      <c r="G26" s="9">
        <v>0.53694995636487342</v>
      </c>
      <c r="H26" s="9">
        <v>0.37004967694942104</v>
      </c>
    </row>
    <row r="27" spans="2:8" x14ac:dyDescent="0.3">
      <c r="B27" s="9">
        <v>0.85650940772725992</v>
      </c>
      <c r="C27" s="9">
        <v>0.96242919036362484</v>
      </c>
      <c r="D27" s="9">
        <v>0.3773109971360924</v>
      </c>
      <c r="E27" s="9">
        <v>0.73535766790590018</v>
      </c>
      <c r="F27" s="9">
        <v>0.70040171076755708</v>
      </c>
      <c r="G27" s="9">
        <v>0.72456404712159039</v>
      </c>
      <c r="H27" s="9">
        <v>0.79202450521672141</v>
      </c>
    </row>
    <row r="28" spans="2:8" x14ac:dyDescent="0.3">
      <c r="B28" s="9">
        <v>0.31912871410277344</v>
      </c>
      <c r="C28" s="9">
        <v>0.27233343536316212</v>
      </c>
      <c r="D28" s="9">
        <v>0.65595544834188235</v>
      </c>
      <c r="E28" s="9">
        <v>0.12946190079173897</v>
      </c>
      <c r="F28" s="9">
        <v>0.39816794594056026</v>
      </c>
      <c r="G28" s="9">
        <v>0.72749466973513255</v>
      </c>
      <c r="H28" s="9">
        <v>0.251803252891456</v>
      </c>
    </row>
    <row r="29" spans="2:8" x14ac:dyDescent="0.3">
      <c r="B29" s="9">
        <v>0.1125583941528332</v>
      </c>
      <c r="C29" s="9">
        <v>0.85542181742178425</v>
      </c>
      <c r="D29" s="9">
        <v>0.6350368236048769</v>
      </c>
      <c r="E29" s="9">
        <v>0.53586839483702553</v>
      </c>
      <c r="F29" s="9">
        <v>0.81149963153009752</v>
      </c>
      <c r="G29" s="9">
        <v>0.89096061653661551</v>
      </c>
      <c r="H29" s="9">
        <v>0.48369456666332322</v>
      </c>
    </row>
    <row r="30" spans="2:8" x14ac:dyDescent="0.3">
      <c r="B30" s="9">
        <v>0.29026381513252275</v>
      </c>
      <c r="C30" s="9">
        <v>0.96297603835539491</v>
      </c>
      <c r="D30" s="9">
        <v>0.85956516776972602</v>
      </c>
      <c r="E30" s="9">
        <v>4.6914384982976287E-2</v>
      </c>
      <c r="F30" s="9">
        <v>0.72166055823303399</v>
      </c>
      <c r="G30" s="9">
        <v>0.25925718398890574</v>
      </c>
      <c r="H30" s="9">
        <v>0.46575262157857988</v>
      </c>
    </row>
    <row r="31" spans="2:8" x14ac:dyDescent="0.3">
      <c r="B31" s="7">
        <v>0.21669575118743123</v>
      </c>
      <c r="C31" s="7">
        <v>0.12131311224185559</v>
      </c>
      <c r="D31" s="9">
        <v>0.78116097231560055</v>
      </c>
      <c r="E31" s="7">
        <v>0.80428535128959044</v>
      </c>
      <c r="F31" s="7">
        <v>0.14636171868487402</v>
      </c>
      <c r="G31" s="9">
        <v>0.66104801731425078</v>
      </c>
      <c r="H31" s="7">
        <v>0.71142854244183074</v>
      </c>
    </row>
    <row r="32" spans="2:8" x14ac:dyDescent="0.3">
      <c r="B32" s="7">
        <v>0.53732910758872809</v>
      </c>
      <c r="C32" s="7">
        <v>0.89318373541920693</v>
      </c>
      <c r="D32" s="9">
        <v>0.40329813461965447</v>
      </c>
      <c r="E32" s="7">
        <v>0.63683492046467727</v>
      </c>
      <c r="F32" s="7">
        <v>0.23893088983078936</v>
      </c>
      <c r="G32" s="9">
        <v>0.99577686901938378</v>
      </c>
      <c r="H32" s="7">
        <v>0.55212394295242695</v>
      </c>
    </row>
    <row r="33" spans="2:8" x14ac:dyDescent="0.3">
      <c r="B33" s="7">
        <v>0.95054730413536825</v>
      </c>
      <c r="C33" s="7">
        <v>0.67455075287029254</v>
      </c>
      <c r="D33" s="9">
        <v>2.1348325356801645E-2</v>
      </c>
      <c r="E33" s="7">
        <v>0.76801906621710181</v>
      </c>
      <c r="F33" s="7">
        <v>0.38068088849162773</v>
      </c>
      <c r="G33" s="9">
        <v>0.55051489488880634</v>
      </c>
      <c r="H33" s="7">
        <v>0.58598794978327451</v>
      </c>
    </row>
    <row r="34" spans="2:8" x14ac:dyDescent="0.3">
      <c r="B34" s="7">
        <v>0.64156768667961295</v>
      </c>
      <c r="C34" s="7">
        <v>0.43576868879282116</v>
      </c>
      <c r="D34" s="9">
        <v>0.8237267502240404</v>
      </c>
      <c r="E34" s="7">
        <v>0.63609475307423069</v>
      </c>
      <c r="F34" s="7">
        <v>0.822791675574158</v>
      </c>
      <c r="G34" s="9">
        <v>0.48739055858210989</v>
      </c>
      <c r="H34" s="7">
        <v>7.7961970022999205E-2</v>
      </c>
    </row>
    <row r="35" spans="2:8" x14ac:dyDescent="0.3">
      <c r="B35" s="7">
        <v>0.38578597219655375</v>
      </c>
      <c r="C35" s="7">
        <v>0.28755910347381541</v>
      </c>
      <c r="D35" s="9">
        <v>0.41614128493064051</v>
      </c>
      <c r="E35" s="7">
        <v>0.5392279372808586</v>
      </c>
      <c r="F35" s="7">
        <v>1.7340262545661345E-2</v>
      </c>
      <c r="G35" s="9">
        <v>0.14597860874653668</v>
      </c>
      <c r="H35" s="7">
        <v>0.85000162141547664</v>
      </c>
    </row>
    <row r="36" spans="2:8" x14ac:dyDescent="0.3">
      <c r="B36" s="7">
        <v>0.35781589017459181</v>
      </c>
      <c r="C36" s="7">
        <v>0.24638654574039842</v>
      </c>
      <c r="D36" s="9">
        <v>2.9665680661434601E-2</v>
      </c>
      <c r="E36" s="7">
        <v>0.87481576520094695</v>
      </c>
      <c r="F36" s="7">
        <v>0.7461186557793571</v>
      </c>
      <c r="G36" s="9">
        <v>0.88607843996913527</v>
      </c>
      <c r="H36" s="7">
        <v>0.62124410833434984</v>
      </c>
    </row>
    <row r="37" spans="2:8" x14ac:dyDescent="0.3">
      <c r="B37" s="7">
        <v>0.25644300180055923</v>
      </c>
      <c r="C37" s="7">
        <v>0.92537006969188895</v>
      </c>
      <c r="D37" s="9">
        <v>0.5293087893391144</v>
      </c>
      <c r="E37" s="7">
        <v>0.69338483607032231</v>
      </c>
      <c r="F37" s="7">
        <v>0.5450038975460112</v>
      </c>
      <c r="G37" s="9">
        <v>0.47012358185414449</v>
      </c>
      <c r="H37" s="7">
        <v>0.28627923648118903</v>
      </c>
    </row>
    <row r="38" spans="2:8" x14ac:dyDescent="0.3">
      <c r="B38" s="7">
        <v>0.43669121247128562</v>
      </c>
      <c r="C38" s="7">
        <v>0.5762205875677342</v>
      </c>
      <c r="D38" s="9">
        <v>0.25884203203589617</v>
      </c>
      <c r="E38" s="7">
        <v>0.78366550860478634</v>
      </c>
      <c r="F38" s="7">
        <v>0.16087849917500585</v>
      </c>
      <c r="G38" s="9">
        <v>0.50289419949324898</v>
      </c>
      <c r="H38" s="7">
        <v>0.52378048002262112</v>
      </c>
    </row>
    <row r="39" spans="2:8" x14ac:dyDescent="0.3">
      <c r="B39" s="7">
        <v>0.30505201764305578</v>
      </c>
      <c r="C39" s="7">
        <v>0.86640026356093713</v>
      </c>
      <c r="D39" s="9">
        <v>0.6004384030501102</v>
      </c>
      <c r="E39" s="7">
        <v>0.75183199876550266</v>
      </c>
      <c r="F39" s="7">
        <v>0.70801230640025348</v>
      </c>
      <c r="G39" s="9">
        <v>0.36759197682935918</v>
      </c>
      <c r="H39" s="7">
        <v>0.72012882697669878</v>
      </c>
    </row>
    <row r="40" spans="2:8" x14ac:dyDescent="0.3">
      <c r="B40" s="7">
        <v>0.45265655163613694</v>
      </c>
      <c r="C40" s="7">
        <v>0.93066474403311528</v>
      </c>
      <c r="D40" s="9">
        <v>0.6549877668890205</v>
      </c>
      <c r="E40" s="7">
        <v>0.17224112665899005</v>
      </c>
      <c r="F40" s="7">
        <v>0.66118270256747569</v>
      </c>
      <c r="G40" s="9">
        <v>0.85668303911270982</v>
      </c>
      <c r="H40" s="7">
        <v>0.44568775498804403</v>
      </c>
    </row>
    <row r="41" spans="2:8" x14ac:dyDescent="0.3">
      <c r="B41" s="7">
        <v>0.81358947598163245</v>
      </c>
      <c r="C41" s="7">
        <v>9.8948176978723268E-2</v>
      </c>
      <c r="D41" s="9">
        <v>0.67924682798165592</v>
      </c>
      <c r="E41" s="7">
        <v>3.284376299958236E-2</v>
      </c>
      <c r="F41" s="7">
        <v>1.0516548140415694E-4</v>
      </c>
      <c r="G41" s="9">
        <v>0.78162953208128472</v>
      </c>
      <c r="H41" s="7">
        <v>0.30777396352213204</v>
      </c>
    </row>
    <row r="42" spans="2:8" x14ac:dyDescent="0.3">
      <c r="B42" s="7">
        <v>0.66038090400096761</v>
      </c>
      <c r="C42" s="7">
        <v>0.37500386270495589</v>
      </c>
      <c r="D42" s="9">
        <v>0.9484738780743589</v>
      </c>
      <c r="E42" s="7">
        <v>0.99996754200309224</v>
      </c>
      <c r="F42" s="7">
        <v>0.97705736579279368</v>
      </c>
      <c r="G42" s="9">
        <v>0.58719435549272614</v>
      </c>
      <c r="H42" s="7">
        <v>0.48184371863672615</v>
      </c>
    </row>
    <row r="43" spans="2:8" x14ac:dyDescent="0.3">
      <c r="B43" s="7">
        <v>0.82466076148682399</v>
      </c>
      <c r="C43" s="7">
        <v>0.92570820072657889</v>
      </c>
      <c r="D43" s="9">
        <v>3.5732372101397125E-2</v>
      </c>
      <c r="E43" s="7">
        <v>0.70380109476868746</v>
      </c>
      <c r="F43" s="7">
        <v>0.41118389406590494</v>
      </c>
      <c r="G43" s="9">
        <v>0.34219832032204467</v>
      </c>
      <c r="H43" s="7">
        <v>0.45167328889684155</v>
      </c>
    </row>
    <row r="44" spans="2:8" x14ac:dyDescent="0.3">
      <c r="B44" s="7">
        <v>0.81159006913014164</v>
      </c>
      <c r="C44" s="7">
        <v>5.770455908432659E-2</v>
      </c>
      <c r="D44" s="9">
        <v>0.88838249542619163</v>
      </c>
      <c r="E44" s="7">
        <v>0.8732910963334497</v>
      </c>
      <c r="F44" s="7">
        <v>0.92706716062642602</v>
      </c>
      <c r="G44" s="9">
        <v>3.4785702149803921E-2</v>
      </c>
      <c r="H44" s="7">
        <v>0.96732533965623557</v>
      </c>
    </row>
    <row r="45" spans="2:8" x14ac:dyDescent="0.3">
      <c r="B45" s="7">
        <v>0.45511566506666945</v>
      </c>
      <c r="C45" s="7">
        <v>0.60534464137325639</v>
      </c>
      <c r="D45" s="9">
        <v>0.39534410397882991</v>
      </c>
      <c r="E45" s="7">
        <v>0.68823544910512702</v>
      </c>
      <c r="F45" s="7">
        <v>0.49085131028174245</v>
      </c>
      <c r="G45" s="9">
        <v>0.91646263260507554</v>
      </c>
      <c r="H45" s="7">
        <v>0.43181942477008151</v>
      </c>
    </row>
    <row r="46" spans="2:8" x14ac:dyDescent="0.3">
      <c r="B46" s="7">
        <v>0.42513131973371454</v>
      </c>
      <c r="C46" s="7">
        <v>0.1062987668159121</v>
      </c>
      <c r="D46" s="9">
        <v>7.6605870834475454E-2</v>
      </c>
      <c r="E46" s="7">
        <v>0.37827883917911387</v>
      </c>
      <c r="F46" s="7">
        <v>0.9590317290451198</v>
      </c>
      <c r="G46" s="9">
        <v>0.62100993488334844</v>
      </c>
      <c r="H46" s="7">
        <v>0.94353829153484536</v>
      </c>
    </row>
    <row r="47" spans="2:8" x14ac:dyDescent="0.3">
      <c r="B47" s="7">
        <v>0.90354176684773568</v>
      </c>
      <c r="C47" s="7">
        <v>0.80108452507206995</v>
      </c>
      <c r="D47" s="9">
        <v>0.97727316281588728</v>
      </c>
      <c r="E47" s="7">
        <v>0.56700024734720444</v>
      </c>
      <c r="F47" s="7">
        <v>0.40412950398821845</v>
      </c>
      <c r="G47" s="9">
        <v>6.6674048194497404E-2</v>
      </c>
      <c r="H47" s="7">
        <v>0.18856238218721622</v>
      </c>
    </row>
    <row r="48" spans="2:8" x14ac:dyDescent="0.3">
      <c r="B48" s="7">
        <v>0.10160917980270323</v>
      </c>
      <c r="C48" s="7">
        <v>0.16455719730316565</v>
      </c>
      <c r="D48" s="9">
        <v>0.74346857133279731</v>
      </c>
      <c r="E48" s="7">
        <v>0.69960712733206876</v>
      </c>
      <c r="F48" s="7">
        <v>0.78451386237283049</v>
      </c>
      <c r="G48" s="9">
        <v>0.21156254982640088</v>
      </c>
      <c r="H48" s="7">
        <v>0.51438758179233468</v>
      </c>
    </row>
    <row r="49" spans="2:8" x14ac:dyDescent="0.3">
      <c r="B49" s="7">
        <v>0.92197634526014927</v>
      </c>
      <c r="C49" s="7">
        <v>0.90333628906644781</v>
      </c>
      <c r="D49" s="9">
        <v>0.80410068380189159</v>
      </c>
      <c r="E49" s="7">
        <v>0.12465478190257873</v>
      </c>
      <c r="F49" s="7">
        <v>4.9648087999932144E-2</v>
      </c>
      <c r="G49" s="9">
        <v>0.41299103874288456</v>
      </c>
      <c r="H49" s="7">
        <v>0.18347537135624936</v>
      </c>
    </row>
    <row r="50" spans="2:8" x14ac:dyDescent="0.3">
      <c r="B50" s="7">
        <v>0.63636218470692474</v>
      </c>
      <c r="C50" s="7">
        <v>0.9506016086406639</v>
      </c>
      <c r="D50" s="9">
        <v>2.0056617383356845E-2</v>
      </c>
      <c r="E50" s="7">
        <v>0.41301299937375119</v>
      </c>
      <c r="F50" s="7">
        <v>0.29648824904353432</v>
      </c>
      <c r="G50" s="9">
        <v>0.7440191936195939</v>
      </c>
      <c r="H50" s="7">
        <v>0.14896574068019963</v>
      </c>
    </row>
    <row r="51" spans="2:8" x14ac:dyDescent="0.3">
      <c r="B51" s="7">
        <v>0.83082020299627857</v>
      </c>
      <c r="C51" s="7">
        <v>0.87507301613250221</v>
      </c>
      <c r="D51" s="9">
        <v>9.8062394014042376E-2</v>
      </c>
      <c r="E51" s="7">
        <v>0.33582875251083633</v>
      </c>
      <c r="F51" s="7">
        <v>0.28814599701154542</v>
      </c>
      <c r="G51" s="9">
        <v>0.14016553845738056</v>
      </c>
      <c r="H51" s="7">
        <v>0.21866333044280495</v>
      </c>
    </row>
    <row r="52" spans="2:8" x14ac:dyDescent="0.3">
      <c r="B52" s="7">
        <v>0.31156176983457784</v>
      </c>
      <c r="C52" s="7">
        <v>0.89104954774141998</v>
      </c>
      <c r="D52" s="9">
        <v>0.19135135485029764</v>
      </c>
      <c r="E52" s="7">
        <v>8.0828175512736244E-2</v>
      </c>
      <c r="F52" s="7">
        <v>0.49695042124613131</v>
      </c>
      <c r="G52" s="9">
        <v>0.69700823372147536</v>
      </c>
      <c r="H52" s="7">
        <v>0.33051879241892479</v>
      </c>
    </row>
    <row r="53" spans="2:8" x14ac:dyDescent="0.3">
      <c r="B53" s="7">
        <v>0.56895417912775503</v>
      </c>
      <c r="C53" s="7">
        <v>0.43969426129205175</v>
      </c>
      <c r="D53" s="9">
        <v>0.42621666160920957</v>
      </c>
      <c r="E53" s="7">
        <v>0.93969568076142096</v>
      </c>
      <c r="F53" s="7">
        <v>0.36059675856083562</v>
      </c>
      <c r="G53" s="9">
        <v>0.83402250167852476</v>
      </c>
      <c r="H53" s="7">
        <v>0.73786905567355987</v>
      </c>
    </row>
    <row r="54" spans="2:8" x14ac:dyDescent="0.3">
      <c r="B54" s="7">
        <v>0.79057785535748781</v>
      </c>
      <c r="C54" s="7">
        <v>0.39702805145382492</v>
      </c>
      <c r="D54" s="9">
        <v>0.2298711409709453</v>
      </c>
      <c r="E54" s="7">
        <v>0.76212741777861237</v>
      </c>
      <c r="F54" s="7">
        <v>0.47161106834110633</v>
      </c>
      <c r="G54" s="9">
        <v>0.7878751011390579</v>
      </c>
      <c r="H54" s="7">
        <v>0.87192833915219925</v>
      </c>
    </row>
    <row r="55" spans="2:8" x14ac:dyDescent="0.3">
      <c r="B55" s="7">
        <v>0.90836618760861687</v>
      </c>
      <c r="C55" s="7">
        <v>9.0520293085027959E-2</v>
      </c>
      <c r="D55" s="9">
        <v>0.14782048092022482</v>
      </c>
      <c r="E55" s="7">
        <v>0.63340948015202336</v>
      </c>
      <c r="F55" s="7">
        <v>0.93251043922463506</v>
      </c>
      <c r="G55" s="9">
        <v>0.40727461799831244</v>
      </c>
      <c r="H55" s="7">
        <v>0.99581910318311451</v>
      </c>
    </row>
    <row r="56" spans="2:8" x14ac:dyDescent="0.3">
      <c r="B56" s="7">
        <v>0.60428462917422987</v>
      </c>
      <c r="C56" s="7">
        <v>0.83452361361750249</v>
      </c>
      <c r="D56" s="9">
        <v>0.2561810709481398</v>
      </c>
      <c r="E56" s="7">
        <v>0.48878823841936292</v>
      </c>
      <c r="F56" s="7">
        <v>0.91568918688116696</v>
      </c>
      <c r="G56" s="9">
        <v>0.4120159694994483</v>
      </c>
      <c r="H56" s="7">
        <v>0.84136378619697094</v>
      </c>
    </row>
    <row r="57" spans="2:8" x14ac:dyDescent="0.3">
      <c r="B57" s="7">
        <v>0.70534100242732367</v>
      </c>
      <c r="C57" s="7">
        <v>0.67269183882236794</v>
      </c>
      <c r="D57" s="9">
        <v>0.59151467730111595</v>
      </c>
      <c r="E57" s="7">
        <v>0.36920429951079115</v>
      </c>
      <c r="F57" s="7">
        <v>0.29144548517398849</v>
      </c>
      <c r="G57" s="9">
        <v>0.67434436300052458</v>
      </c>
      <c r="H57" s="7">
        <v>0.9222810236953265</v>
      </c>
    </row>
    <row r="58" spans="2:8" x14ac:dyDescent="0.3">
      <c r="B58" s="7">
        <v>0.91964106078446251</v>
      </c>
      <c r="C58" s="7">
        <v>0.65204710894542384</v>
      </c>
      <c r="D58" s="9">
        <v>0.55349372400240182</v>
      </c>
      <c r="E58" s="7">
        <v>0.34339804712700861</v>
      </c>
      <c r="F58" s="7">
        <v>1.5524475488581935E-2</v>
      </c>
      <c r="G58" s="9">
        <v>0.95313751140850178</v>
      </c>
      <c r="H58" s="7">
        <v>0.5364552963070166</v>
      </c>
    </row>
    <row r="59" spans="2:8" x14ac:dyDescent="0.3">
      <c r="B59" s="7">
        <v>0.80487204685439817</v>
      </c>
      <c r="C59" s="7">
        <v>0.524966584340401</v>
      </c>
      <c r="D59" s="9">
        <v>0.82676218340872953</v>
      </c>
      <c r="E59" s="7">
        <v>0.71688575075232741</v>
      </c>
      <c r="F59" s="7">
        <v>0.77183620382082108</v>
      </c>
      <c r="G59" s="9">
        <v>0.45871423144199253</v>
      </c>
      <c r="H59" s="7">
        <v>0.30351561202349764</v>
      </c>
    </row>
    <row r="60" spans="2:8" x14ac:dyDescent="0.3">
      <c r="B60" s="7">
        <v>0.53944982050811086</v>
      </c>
      <c r="C60" s="7">
        <v>0.37043251172956193</v>
      </c>
      <c r="D60" s="9">
        <v>0.44758948691747058</v>
      </c>
      <c r="E60" s="7">
        <v>0.37658831068176735</v>
      </c>
      <c r="F60" s="7">
        <v>0.42626234502583205</v>
      </c>
      <c r="G60" s="9">
        <v>0.98676741913624388</v>
      </c>
      <c r="H60" s="7">
        <v>0.18107538589640915</v>
      </c>
    </row>
    <row r="61" spans="2:8" x14ac:dyDescent="0.3">
      <c r="B61" s="7">
        <v>0.17550567404104811</v>
      </c>
      <c r="C61" s="7">
        <v>0.74200055072100302</v>
      </c>
      <c r="D61" s="9">
        <v>0.87728321951613286</v>
      </c>
      <c r="E61" s="7">
        <v>0.26725618779794047</v>
      </c>
      <c r="F61" s="7">
        <v>0.58399419974608779</v>
      </c>
      <c r="G61" s="9">
        <v>0.23130235960502477</v>
      </c>
      <c r="H61" s="7">
        <v>0.90987263720283473</v>
      </c>
    </row>
    <row r="62" spans="2:8" x14ac:dyDescent="0.3">
      <c r="B62" s="7">
        <v>0.48323704925102806</v>
      </c>
      <c r="C62" s="7">
        <v>5.6480766397585924E-2</v>
      </c>
      <c r="D62" s="9">
        <v>0.89247279649978162</v>
      </c>
      <c r="E62" s="7">
        <v>0.22773796059545592</v>
      </c>
      <c r="F62" s="7">
        <v>0.6914680420582453</v>
      </c>
      <c r="G62" s="9">
        <v>0.57272264362253034</v>
      </c>
      <c r="H62" s="7">
        <v>0.58393936110887967</v>
      </c>
    </row>
    <row r="63" spans="2:8" x14ac:dyDescent="0.3">
      <c r="B63" s="7">
        <v>0.90992585906292978</v>
      </c>
      <c r="C63" s="7">
        <v>0.89002364960458991</v>
      </c>
      <c r="D63" s="9">
        <v>0.1898391130908168</v>
      </c>
      <c r="E63" s="7">
        <v>0.62079935658373775</v>
      </c>
      <c r="F63" s="7">
        <v>0.66962724236758575</v>
      </c>
      <c r="G63" s="9">
        <v>0.15044708285366415</v>
      </c>
      <c r="H63" s="7">
        <v>0.97601156325598915</v>
      </c>
    </row>
    <row r="64" spans="2:8" x14ac:dyDescent="0.3">
      <c r="B64" s="7">
        <v>0.77681306083468638</v>
      </c>
      <c r="C64" s="7">
        <v>0.30953720424183473</v>
      </c>
      <c r="D64" s="9">
        <v>0.56589391802282396</v>
      </c>
      <c r="E64" s="7">
        <v>0.78956797111834764</v>
      </c>
      <c r="F64" s="7">
        <v>0.62325196224610124</v>
      </c>
      <c r="G64" s="9">
        <v>0.20972690422871754</v>
      </c>
      <c r="H64" s="7">
        <v>0.59145385665556494</v>
      </c>
    </row>
    <row r="65" spans="2:8" x14ac:dyDescent="0.3">
      <c r="B65" s="7">
        <v>0.56457722959923728</v>
      </c>
      <c r="C65" s="7">
        <v>0.96390023467171293</v>
      </c>
      <c r="D65" s="9">
        <v>0.23073185252258388</v>
      </c>
      <c r="E65" s="7">
        <v>0.40143820145890174</v>
      </c>
      <c r="F65" s="7">
        <v>0.29709404322210364</v>
      </c>
      <c r="G65" s="9">
        <v>0.61028850585149352</v>
      </c>
      <c r="H65" s="7">
        <v>0.9495355845784732</v>
      </c>
    </row>
    <row r="66" spans="2:8" x14ac:dyDescent="0.3">
      <c r="B66" s="7">
        <v>0.60749558013125449</v>
      </c>
      <c r="C66" s="7">
        <v>5.4513929065210576E-2</v>
      </c>
      <c r="D66" s="9">
        <v>0.7744971262083693</v>
      </c>
      <c r="E66" s="7">
        <v>0.46631234296366841</v>
      </c>
      <c r="F66" s="7">
        <v>0.73332967887694966</v>
      </c>
      <c r="G66" s="9">
        <v>0.95482857079802419</v>
      </c>
      <c r="H66" s="7">
        <v>0.94113702683932132</v>
      </c>
    </row>
    <row r="67" spans="2:8" x14ac:dyDescent="0.3">
      <c r="B67" s="7">
        <v>0.26539713607659454</v>
      </c>
      <c r="C67" s="7">
        <v>0.23439488606244474</v>
      </c>
      <c r="D67" s="9">
        <v>0.47239690365488851</v>
      </c>
      <c r="E67" s="7">
        <v>0.92961323394228046</v>
      </c>
      <c r="F67" s="7">
        <v>0.21514790798285777</v>
      </c>
      <c r="G67" s="9">
        <v>0.35110878448635141</v>
      </c>
      <c r="H67" s="7">
        <v>0.88372544311846735</v>
      </c>
    </row>
    <row r="68" spans="2:8" x14ac:dyDescent="0.3">
      <c r="B68" s="7">
        <v>0.68996803015970198</v>
      </c>
      <c r="C68" s="7">
        <v>0.16569834772505665</v>
      </c>
      <c r="D68" s="9">
        <v>0.1110906306940036</v>
      </c>
      <c r="E68" s="7">
        <v>0.54553428121463554</v>
      </c>
      <c r="F68" s="7">
        <v>0.54079561971937173</v>
      </c>
      <c r="G68" s="9">
        <v>0.68665303771504904</v>
      </c>
      <c r="H68" s="7">
        <v>0.96003057662621571</v>
      </c>
    </row>
    <row r="69" spans="2:8" x14ac:dyDescent="0.3">
      <c r="B69" s="7">
        <v>0.39483595281728107</v>
      </c>
      <c r="C69" s="7">
        <v>0.36040801198423478</v>
      </c>
      <c r="D69" s="9">
        <v>0.8758717113659511</v>
      </c>
      <c r="E69" s="7">
        <v>0.53815199963116478</v>
      </c>
      <c r="F69" s="7">
        <v>0.22433622525352082</v>
      </c>
      <c r="G69" s="9">
        <v>0.53666496925721852</v>
      </c>
      <c r="H69" s="7">
        <v>0.71837598345494325</v>
      </c>
    </row>
    <row r="70" spans="2:8" x14ac:dyDescent="0.3">
      <c r="B70" s="7">
        <v>0.77711016284973056</v>
      </c>
      <c r="C70" s="7">
        <v>0.9161530532643154</v>
      </c>
      <c r="D70" s="9">
        <v>0.64951233675593212</v>
      </c>
      <c r="E70" s="7">
        <v>0.95864658033407224</v>
      </c>
      <c r="F70" s="7">
        <v>0.38464413073013493</v>
      </c>
      <c r="G70" s="9">
        <v>0.87217958944620899</v>
      </c>
      <c r="H70" s="7">
        <v>1.0517989650850434E-2</v>
      </c>
    </row>
    <row r="71" spans="2:8" x14ac:dyDescent="0.3">
      <c r="B71" s="7">
        <v>0.24783286402579652</v>
      </c>
      <c r="C71" s="7">
        <v>0.26421926497419562</v>
      </c>
      <c r="D71" s="9">
        <v>0.14527396958416294</v>
      </c>
      <c r="E71" s="7">
        <v>0.97330524776462113</v>
      </c>
      <c r="F71" s="7">
        <v>0.31245800728000805</v>
      </c>
      <c r="G71" s="9">
        <v>0.33223059246972819</v>
      </c>
      <c r="H71" s="7">
        <v>0.32911049463411812</v>
      </c>
    </row>
    <row r="72" spans="2:8" x14ac:dyDescent="0.3">
      <c r="B72" s="7">
        <v>0.34717823758036781</v>
      </c>
      <c r="C72" s="7">
        <v>0.49632672769553943</v>
      </c>
      <c r="D72" s="9">
        <v>0.45133011993754568</v>
      </c>
      <c r="E72" s="7">
        <v>0.92909825895051346</v>
      </c>
      <c r="F72" s="7">
        <v>0.45233943127588105</v>
      </c>
      <c r="G72" s="9">
        <v>0.70046193771602439</v>
      </c>
      <c r="H72" s="7">
        <v>0.9129481570338982</v>
      </c>
    </row>
    <row r="73" spans="2:8" x14ac:dyDescent="0.3">
      <c r="B73" s="7">
        <v>0.75972557116561745</v>
      </c>
      <c r="C73" s="7">
        <v>0.76374667042511946</v>
      </c>
      <c r="D73" s="9">
        <v>0.74884022164028519</v>
      </c>
      <c r="E73" s="7">
        <v>0.95436492730058697</v>
      </c>
      <c r="F73" s="7">
        <v>0.42815265079565412</v>
      </c>
      <c r="G73" s="9">
        <v>0.67939687246121427</v>
      </c>
      <c r="H73" s="7">
        <v>0.96007246254696099</v>
      </c>
    </row>
    <row r="74" spans="2:8" x14ac:dyDescent="0.3">
      <c r="B74" s="7">
        <v>6.1818098324109005E-3</v>
      </c>
      <c r="C74" s="7">
        <v>2.1782678910233777E-2</v>
      </c>
      <c r="D74" s="9">
        <v>0.35128343956072072</v>
      </c>
      <c r="E74" s="7">
        <v>0.24177124391900606</v>
      </c>
      <c r="F74" s="7">
        <v>0.69737610246988435</v>
      </c>
      <c r="G74" s="9">
        <v>0.76705063203633483</v>
      </c>
      <c r="H74" s="7">
        <v>0.58052146316051711</v>
      </c>
    </row>
    <row r="75" spans="2:8" x14ac:dyDescent="0.3">
      <c r="B75" s="7">
        <v>0.58127193810462341</v>
      </c>
      <c r="C75" s="7">
        <v>0.80010302883798334</v>
      </c>
      <c r="D75" s="9">
        <v>0.9975536559124889</v>
      </c>
      <c r="E75" s="7">
        <v>0.66338793658638817</v>
      </c>
      <c r="F75" s="7">
        <v>0.86333246860297308</v>
      </c>
      <c r="G75" s="9">
        <v>0.35032959110313033</v>
      </c>
      <c r="H75" s="7">
        <v>0.68834686002198175</v>
      </c>
    </row>
    <row r="76" spans="2:8" x14ac:dyDescent="0.3">
      <c r="B76" s="7">
        <v>0.16151423003226295</v>
      </c>
      <c r="C76" s="7">
        <v>0.55144289241783184</v>
      </c>
      <c r="D76" s="9">
        <v>0.79723712631892441</v>
      </c>
      <c r="E76" s="7">
        <v>0.82474626866088752</v>
      </c>
      <c r="F76" s="7">
        <v>0.61116561983957851</v>
      </c>
      <c r="G76" s="9">
        <v>0.85608215965178847</v>
      </c>
      <c r="H76" s="7">
        <v>0.32509275853627839</v>
      </c>
    </row>
    <row r="77" spans="2:8" x14ac:dyDescent="0.3">
      <c r="B77" s="7">
        <v>0.97232001500791054</v>
      </c>
      <c r="C77" s="7">
        <v>0.75253373818882174</v>
      </c>
      <c r="D77" s="9">
        <v>2.4568438271542981E-2</v>
      </c>
      <c r="E77" s="7">
        <v>0.32700028495185873</v>
      </c>
      <c r="F77" s="7">
        <v>0.39411305469927227</v>
      </c>
      <c r="G77" s="9">
        <v>0.40609135724219686</v>
      </c>
      <c r="H77" s="7">
        <v>0.91276247857990089</v>
      </c>
    </row>
    <row r="78" spans="2:8" x14ac:dyDescent="0.3">
      <c r="B78" s="7">
        <v>0.96035602399163444</v>
      </c>
      <c r="C78" s="7">
        <v>0.7778241725088757</v>
      </c>
      <c r="D78" s="9">
        <v>0.36012405501097522</v>
      </c>
      <c r="E78" s="7">
        <v>0.53149087052013932</v>
      </c>
      <c r="F78" s="7">
        <v>0.83612744600493749</v>
      </c>
      <c r="G78" s="9">
        <v>0.93731603438104205</v>
      </c>
      <c r="H78" s="7">
        <v>0.67293847079318958</v>
      </c>
    </row>
    <row r="79" spans="2:8" x14ac:dyDescent="0.3">
      <c r="B79" s="7">
        <v>0.76025458936389523</v>
      </c>
      <c r="C79" s="7">
        <v>0.68767791570003456</v>
      </c>
      <c r="D79" s="9">
        <v>0.72161956913810144</v>
      </c>
      <c r="E79" s="7">
        <v>0.2734799076691305</v>
      </c>
      <c r="F79" s="7">
        <v>0.35796165299380545</v>
      </c>
      <c r="G79" s="9">
        <v>9.9504717568864365E-2</v>
      </c>
      <c r="H79" s="7">
        <v>0.63531330476572401</v>
      </c>
    </row>
    <row r="80" spans="2:8" x14ac:dyDescent="0.3">
      <c r="B80" s="7">
        <v>0.73398825370976173</v>
      </c>
      <c r="C80" s="7">
        <v>0.44242351800538238</v>
      </c>
      <c r="D80" s="9">
        <v>0.61753052208805226</v>
      </c>
      <c r="E80" s="7">
        <v>0.87248241339041854</v>
      </c>
      <c r="F80" s="7">
        <v>0.94573880114193154</v>
      </c>
      <c r="G80" s="9">
        <v>0.49054600544161103</v>
      </c>
      <c r="H80" s="7">
        <v>0.44990951668467716</v>
      </c>
    </row>
    <row r="81" spans="2:8" x14ac:dyDescent="0.3">
      <c r="B81" s="7">
        <v>0.3515439135006686</v>
      </c>
      <c r="C81" s="7">
        <v>0.40767282412087891</v>
      </c>
      <c r="D81" s="9">
        <v>0.3491334054689581</v>
      </c>
      <c r="E81" s="7">
        <v>0.14447447869409036</v>
      </c>
      <c r="F81" s="7">
        <v>0.54428059903569848</v>
      </c>
      <c r="G81" s="9">
        <v>0.76000218275789377</v>
      </c>
      <c r="H81" s="7">
        <v>0.1629255893490999</v>
      </c>
    </row>
    <row r="82" spans="2:8" x14ac:dyDescent="0.3">
      <c r="B82" s="7">
        <v>0.22877966963249818</v>
      </c>
      <c r="C82" s="7">
        <v>0.59317973493858234</v>
      </c>
      <c r="D82" s="9">
        <v>0.47745044663595859</v>
      </c>
      <c r="E82" s="7">
        <v>0.36157425970048718</v>
      </c>
      <c r="F82" s="7">
        <v>0.87493260201442702</v>
      </c>
      <c r="G82" s="9">
        <v>0.1990125178552189</v>
      </c>
      <c r="H82" s="7">
        <v>0.28636922898521533</v>
      </c>
    </row>
    <row r="83" spans="2:8" x14ac:dyDescent="0.3">
      <c r="B83" s="7">
        <v>0.92171203915067057</v>
      </c>
      <c r="C83" s="7">
        <v>0.94155888029333168</v>
      </c>
      <c r="D83" s="9">
        <v>0.33647770022798307</v>
      </c>
      <c r="E83" s="7">
        <v>4.3583725347628555E-2</v>
      </c>
      <c r="F83" s="7">
        <v>0.56957810820250332</v>
      </c>
      <c r="G83" s="9">
        <v>0.63425249487971258</v>
      </c>
      <c r="H83" s="7">
        <v>0.33016399568232924</v>
      </c>
    </row>
    <row r="84" spans="2:8" x14ac:dyDescent="0.3">
      <c r="B84" s="7">
        <v>0.94128254731407424</v>
      </c>
      <c r="C84" s="7">
        <v>0.48087950493926801</v>
      </c>
      <c r="D84" s="9">
        <v>0.25480104374164192</v>
      </c>
      <c r="E84" s="7">
        <v>0.36801297220003359</v>
      </c>
      <c r="F84" s="7">
        <v>1.2749064622368023E-2</v>
      </c>
      <c r="G84" s="9">
        <v>0.9751649470934487</v>
      </c>
      <c r="H84" s="7">
        <v>0.63394746664630031</v>
      </c>
    </row>
    <row r="85" spans="2:8" x14ac:dyDescent="0.3">
      <c r="B85" s="7">
        <v>0.40184215322825168</v>
      </c>
      <c r="C85" s="7">
        <v>0.94747267428237181</v>
      </c>
      <c r="D85" s="9">
        <v>4.1501122717013672E-3</v>
      </c>
      <c r="E85" s="7">
        <v>0.12071096681452187</v>
      </c>
      <c r="F85" s="7">
        <v>0.40981930245749076</v>
      </c>
      <c r="G85" s="9">
        <v>2.8426998151224403E-2</v>
      </c>
      <c r="H85" s="7">
        <v>0.22928956389344402</v>
      </c>
    </row>
    <row r="86" spans="2:8" x14ac:dyDescent="0.3">
      <c r="B86" s="7">
        <v>0.32707086147980058</v>
      </c>
      <c r="C86" s="7">
        <v>0.83376133221773774</v>
      </c>
      <c r="D86" s="9">
        <v>0.75874025317414784</v>
      </c>
      <c r="E86" s="7">
        <v>6.0232475398223295E-2</v>
      </c>
      <c r="F86" s="7">
        <v>0.56605713359007925</v>
      </c>
      <c r="G86" s="9">
        <v>0.69950234152799728</v>
      </c>
      <c r="H86" s="7">
        <v>0.86311717668631194</v>
      </c>
    </row>
    <row r="87" spans="2:8" x14ac:dyDescent="0.3">
      <c r="B87" s="7">
        <v>0.93860025570347005</v>
      </c>
      <c r="C87" s="7">
        <v>8.3638753596724236E-2</v>
      </c>
      <c r="D87" s="9">
        <v>0.21445884011417182</v>
      </c>
      <c r="E87" s="7">
        <v>0.16505113604531374</v>
      </c>
      <c r="F87" s="7">
        <v>0.68867066899168439</v>
      </c>
      <c r="G87" s="9">
        <v>0.26442991536826632</v>
      </c>
      <c r="H87" s="7">
        <v>7.9876364363351549E-4</v>
      </c>
    </row>
    <row r="88" spans="2:8" x14ac:dyDescent="0.3">
      <c r="B88" s="7">
        <v>8.7363807443599562E-2</v>
      </c>
      <c r="C88" s="7">
        <v>0.14783157757003496</v>
      </c>
      <c r="D88" s="9">
        <v>0.91129249934658874</v>
      </c>
      <c r="E88" s="7">
        <v>0.94640869299729058</v>
      </c>
      <c r="F88" s="7">
        <v>1.524241111321345E-2</v>
      </c>
      <c r="G88" s="9">
        <v>0.70683387912781925</v>
      </c>
      <c r="H88" s="7">
        <v>0.17777644704813067</v>
      </c>
    </row>
    <row r="89" spans="2:8" x14ac:dyDescent="0.3">
      <c r="B89" s="7">
        <v>0.48916790110873976</v>
      </c>
      <c r="C89" s="7">
        <v>0.27569179837379654</v>
      </c>
      <c r="D89" s="9">
        <v>1.231641787406268E-2</v>
      </c>
      <c r="E89" s="7">
        <v>0.35245198467402883</v>
      </c>
      <c r="F89" s="7">
        <v>0.72870805884772238</v>
      </c>
      <c r="G89" s="9">
        <v>6.9650288684052875E-2</v>
      </c>
      <c r="H89" s="7">
        <v>0.43017913458917967</v>
      </c>
    </row>
    <row r="90" spans="2:8" x14ac:dyDescent="0.3">
      <c r="B90" s="7">
        <v>0.54652915721449724</v>
      </c>
      <c r="C90" s="7">
        <v>5.5158920227019514E-2</v>
      </c>
      <c r="D90" s="9">
        <v>0.29008518687897267</v>
      </c>
      <c r="E90" s="7">
        <v>0.49622890991614055</v>
      </c>
      <c r="F90" s="7">
        <v>0.42475883600990594</v>
      </c>
      <c r="G90" s="9">
        <v>0.5282748799338004</v>
      </c>
      <c r="H90" s="7">
        <v>0.86145537952296269</v>
      </c>
    </row>
    <row r="91" spans="2:8" x14ac:dyDescent="0.3">
      <c r="B91" s="7">
        <v>0.3849418680634209</v>
      </c>
      <c r="C91" s="7">
        <v>1.2421135392952365E-2</v>
      </c>
      <c r="D91" s="9">
        <v>0.97502753259542585</v>
      </c>
      <c r="E91" s="7">
        <v>0.74119617127180826</v>
      </c>
      <c r="F91" s="7">
        <v>0.54214418807999132</v>
      </c>
      <c r="G91" s="9">
        <v>0.51983307346407504</v>
      </c>
      <c r="H91" s="7">
        <v>3.7064577726859671E-3</v>
      </c>
    </row>
    <row r="92" spans="2:8" x14ac:dyDescent="0.3">
      <c r="B92" s="7">
        <v>0.72283579940902953</v>
      </c>
      <c r="C92" s="7">
        <v>0.77327427367863977</v>
      </c>
      <c r="D92" s="9">
        <v>0.97935031793799521</v>
      </c>
      <c r="E92" s="7">
        <v>6.7536888660886252E-3</v>
      </c>
      <c r="F92" s="7">
        <v>0.67199079847987697</v>
      </c>
      <c r="G92" s="9">
        <v>0.41724486394872451</v>
      </c>
      <c r="H92" s="7">
        <v>0.44023378058672424</v>
      </c>
    </row>
    <row r="93" spans="2:8" x14ac:dyDescent="0.3">
      <c r="B93" s="7">
        <v>0.51673229570442025</v>
      </c>
      <c r="C93" s="7">
        <v>0.56101464231446041</v>
      </c>
      <c r="D93" s="9">
        <v>0.55414325056545377</v>
      </c>
      <c r="E93" s="7">
        <v>0.56132653305834701</v>
      </c>
      <c r="F93" s="7">
        <v>0.39494961797806538</v>
      </c>
      <c r="G93" s="9">
        <v>0.92686801396818241</v>
      </c>
      <c r="H93" s="7">
        <v>0.946026888773009</v>
      </c>
    </row>
    <row r="94" spans="2:8" x14ac:dyDescent="0.3">
      <c r="B94" s="7">
        <v>0.69393036362022986</v>
      </c>
      <c r="C94" s="7">
        <v>0.71508354981436106</v>
      </c>
      <c r="D94" s="9">
        <v>0.27850829022037771</v>
      </c>
      <c r="E94" s="7">
        <v>0.32447976692988734</v>
      </c>
      <c r="F94" s="7">
        <v>0.55169186336802256</v>
      </c>
      <c r="G94" s="9">
        <v>0.84508323888858572</v>
      </c>
      <c r="H94" s="7">
        <v>4.6905818409734568E-2</v>
      </c>
    </row>
    <row r="95" spans="2:8" x14ac:dyDescent="0.3">
      <c r="B95" s="7">
        <v>0.78161157896813727</v>
      </c>
      <c r="C95" s="7">
        <v>8.081775802349167E-2</v>
      </c>
      <c r="D95" s="9">
        <v>0.42265471526415976</v>
      </c>
      <c r="E95" s="7">
        <v>0.27894974505209369</v>
      </c>
      <c r="F95" s="7">
        <v>9.1246722753904885E-2</v>
      </c>
      <c r="G95" s="9">
        <v>0.85298818474313709</v>
      </c>
      <c r="H95" s="7">
        <v>0.26107451265418935</v>
      </c>
    </row>
    <row r="96" spans="2:8" x14ac:dyDescent="0.3">
      <c r="B96" s="7">
        <v>0.96297814759615785</v>
      </c>
      <c r="C96" s="7">
        <v>0.7484783595342388</v>
      </c>
      <c r="D96" s="9">
        <v>0.89100196599290027</v>
      </c>
      <c r="E96" s="7">
        <v>0.39579266934109647</v>
      </c>
      <c r="F96" s="7">
        <v>0.73474793733332588</v>
      </c>
      <c r="G96" s="9">
        <v>0.37782987898374748</v>
      </c>
      <c r="H96" s="7">
        <v>0.17670143087533141</v>
      </c>
    </row>
    <row r="97" spans="2:8" x14ac:dyDescent="0.3">
      <c r="B97" s="7">
        <v>0.12721466150358562</v>
      </c>
      <c r="C97" s="7">
        <v>0.3178066187434716</v>
      </c>
      <c r="D97" s="9">
        <v>0.90958951795061882</v>
      </c>
      <c r="E97" s="7">
        <v>0.49447642913354106</v>
      </c>
      <c r="F97" s="7">
        <v>0.45144360991879395</v>
      </c>
      <c r="G97" s="9">
        <v>0.22034084991987601</v>
      </c>
      <c r="H97" s="7">
        <v>0.63121186316823175</v>
      </c>
    </row>
    <row r="98" spans="2:8" x14ac:dyDescent="0.3">
      <c r="B98" s="7">
        <v>0.84639917653779762</v>
      </c>
      <c r="C98" s="7">
        <v>0.14736350554809707</v>
      </c>
      <c r="D98" s="9">
        <v>0.2748651714234327</v>
      </c>
      <c r="E98" s="7">
        <v>0.14895247491101271</v>
      </c>
      <c r="F98" s="7">
        <v>0.41859398584853702</v>
      </c>
      <c r="G98" s="9">
        <v>0.58309276406198185</v>
      </c>
      <c r="H98" s="7">
        <v>0.39626961645789338</v>
      </c>
    </row>
    <row r="99" spans="2:8" x14ac:dyDescent="0.3">
      <c r="B99" s="7">
        <v>0.53136344634994814</v>
      </c>
      <c r="C99" s="7">
        <v>0.90369147889745616</v>
      </c>
      <c r="D99" s="9">
        <v>0.87487359139293241</v>
      </c>
      <c r="E99" s="7">
        <v>0.77165042754506552</v>
      </c>
      <c r="F99" s="7">
        <v>0.43497518872333973</v>
      </c>
      <c r="G99" s="9">
        <v>0.63659735567408582</v>
      </c>
      <c r="H99" s="7">
        <v>0.36983474101848679</v>
      </c>
    </row>
    <row r="100" spans="2:8" x14ac:dyDescent="0.3">
      <c r="B100" s="7">
        <v>0.68056736687852837</v>
      </c>
      <c r="C100" s="7">
        <v>0.10010659622639473</v>
      </c>
      <c r="D100" s="9">
        <v>0.13109676635551804</v>
      </c>
      <c r="E100" s="7">
        <v>0.43807912118095405</v>
      </c>
      <c r="F100" s="7">
        <v>0.24410779563926094</v>
      </c>
      <c r="G100" s="9">
        <v>0.3279001826342407</v>
      </c>
      <c r="H100" s="7">
        <v>0.88602123328998061</v>
      </c>
    </row>
    <row r="101" spans="2:8" x14ac:dyDescent="0.3">
      <c r="B101" s="7">
        <v>0.85969853052327583</v>
      </c>
      <c r="C101" s="7">
        <v>0.18158776891593509</v>
      </c>
      <c r="D101" s="9">
        <v>0.75783278330938231</v>
      </c>
      <c r="E101" s="7">
        <v>0.90548229772233046</v>
      </c>
      <c r="F101" s="7">
        <v>0.98795732584480866</v>
      </c>
      <c r="G101" s="9">
        <v>0.57057159331303264</v>
      </c>
      <c r="H101" s="7">
        <v>0.56287695052834019</v>
      </c>
    </row>
    <row r="102" spans="2:8" x14ac:dyDescent="0.3">
      <c r="B102" s="7">
        <v>0.91532986144046324</v>
      </c>
      <c r="C102" s="7">
        <v>0.11986520403284406</v>
      </c>
      <c r="D102" s="9">
        <v>0.66095187659024002</v>
      </c>
      <c r="E102" s="7">
        <v>0.70337118203474658</v>
      </c>
      <c r="F102" s="7">
        <v>0.25173353391589126</v>
      </c>
      <c r="G102" s="9">
        <v>0.28628726519059478</v>
      </c>
      <c r="H102" s="7">
        <v>0.56129782803050521</v>
      </c>
    </row>
    <row r="103" spans="2:8" x14ac:dyDescent="0.3">
      <c r="B103" s="7">
        <v>0.12200397800866414</v>
      </c>
      <c r="C103" s="7">
        <v>0.11764491742959948</v>
      </c>
      <c r="D103" s="9">
        <v>0.79319984977627822</v>
      </c>
      <c r="E103" s="7">
        <v>0.7672547092916524</v>
      </c>
      <c r="F103" s="7">
        <v>0.906003879277681</v>
      </c>
      <c r="G103" s="9">
        <v>0.23964081411076599</v>
      </c>
      <c r="H103" s="7">
        <v>0.64580620636504005</v>
      </c>
    </row>
    <row r="104" spans="2:8" x14ac:dyDescent="0.3">
      <c r="B104" s="7">
        <v>0.40354905992000778</v>
      </c>
      <c r="C104" s="7">
        <v>0.95890925773243119</v>
      </c>
      <c r="D104" s="9">
        <v>0.36880875635163601</v>
      </c>
      <c r="E104" s="7">
        <v>0.17110866159480764</v>
      </c>
      <c r="F104" s="7">
        <v>0.98931580043526979</v>
      </c>
      <c r="G104" s="9">
        <v>0.53443704905985978</v>
      </c>
      <c r="H104" s="7">
        <v>0.76705646829533336</v>
      </c>
    </row>
    <row r="105" spans="2:8" x14ac:dyDescent="0.3">
      <c r="B105" s="7">
        <v>0.38854248846832662</v>
      </c>
      <c r="C105" s="7">
        <v>0.38512781121451933</v>
      </c>
      <c r="D105" s="9">
        <v>0.74999850137108126</v>
      </c>
      <c r="E105" s="7">
        <v>0.58626545980925315</v>
      </c>
      <c r="F105" s="7">
        <v>0.207170472115485</v>
      </c>
      <c r="G105" s="9">
        <v>0.99829704826885401</v>
      </c>
      <c r="H105" s="7">
        <v>0.36388167488940404</v>
      </c>
    </row>
    <row r="106" spans="2:8" x14ac:dyDescent="0.3">
      <c r="B106" s="7">
        <v>0.98647959600840474</v>
      </c>
      <c r="C106" s="7">
        <v>2.0192418087003894E-2</v>
      </c>
      <c r="D106" s="9">
        <v>0.52879899351422166</v>
      </c>
      <c r="E106" s="7">
        <v>0.4185916408501964</v>
      </c>
      <c r="F106" s="7">
        <v>0.60419256055985748</v>
      </c>
      <c r="G106" s="9">
        <v>0.19464581883148835</v>
      </c>
      <c r="H106" s="7">
        <v>0.19914638661064643</v>
      </c>
    </row>
    <row r="107" spans="2:8" x14ac:dyDescent="0.3">
      <c r="B107" s="7">
        <v>0.6428465545384745</v>
      </c>
      <c r="C107" s="7">
        <v>0.40474793318117275</v>
      </c>
      <c r="D107" s="9">
        <v>0.38874501200011236</v>
      </c>
      <c r="E107" s="7">
        <v>0.23436015582567116</v>
      </c>
      <c r="F107" s="7">
        <v>0.35182306523963813</v>
      </c>
      <c r="G107" s="9">
        <v>0.94668976377481107</v>
      </c>
      <c r="H107" s="7">
        <v>0.40809588259832913</v>
      </c>
    </row>
    <row r="108" spans="2:8" x14ac:dyDescent="0.3">
      <c r="B108" s="7">
        <v>0.53141413758213396</v>
      </c>
      <c r="C108" s="7">
        <v>2.365947635960719E-2</v>
      </c>
      <c r="D108" s="9">
        <v>4.2518816644523838E-2</v>
      </c>
      <c r="E108" s="7">
        <v>0.47182935358021272</v>
      </c>
      <c r="F108" s="7">
        <v>5.8656312848775816E-2</v>
      </c>
      <c r="G108" s="9">
        <v>0.42527660406260837</v>
      </c>
      <c r="H108" s="7">
        <v>0.27675758121449601</v>
      </c>
    </row>
    <row r="109" spans="2:8" x14ac:dyDescent="0.3">
      <c r="B109" s="7">
        <v>0.35158943039774337</v>
      </c>
      <c r="C109" s="7">
        <v>4.8781469829489277E-2</v>
      </c>
      <c r="D109" s="9">
        <v>0.71011533910123337</v>
      </c>
      <c r="E109" s="7">
        <v>0.10870199946045211</v>
      </c>
      <c r="F109" s="7">
        <v>3.4863288350389432E-2</v>
      </c>
      <c r="G109" s="9">
        <v>0.81969576107959097</v>
      </c>
      <c r="H109" s="7">
        <v>5.4089210430371182E-2</v>
      </c>
    </row>
    <row r="110" spans="2:8" x14ac:dyDescent="0.3">
      <c r="B110" s="7">
        <v>0.72310423835927207</v>
      </c>
      <c r="C110" s="7">
        <v>0.36018364347710019</v>
      </c>
      <c r="D110" s="9">
        <v>0.34244164911700725</v>
      </c>
      <c r="E110" s="7">
        <v>0.11296144235677774</v>
      </c>
      <c r="F110" s="7">
        <v>0.12246734021443784</v>
      </c>
      <c r="G110" s="9">
        <v>2.8238121463050436E-2</v>
      </c>
      <c r="H110" s="7">
        <v>0.18919518276587155</v>
      </c>
    </row>
    <row r="111" spans="2:8" x14ac:dyDescent="0.3">
      <c r="B111" s="7">
        <v>0.2610705722176887</v>
      </c>
      <c r="C111" s="7">
        <v>0.71506194066150552</v>
      </c>
      <c r="D111" s="9">
        <v>0.70401497597034179</v>
      </c>
      <c r="E111" s="7">
        <v>2.859162493830758E-2</v>
      </c>
      <c r="F111" s="7">
        <v>0.85124257849385221</v>
      </c>
      <c r="G111" s="9">
        <v>0.65254918916165749</v>
      </c>
      <c r="H111" s="7">
        <v>0.98361158283954087</v>
      </c>
    </row>
    <row r="112" spans="2:8" x14ac:dyDescent="0.3">
      <c r="B112" s="7">
        <v>4.4132742780722545E-4</v>
      </c>
      <c r="C112" s="7">
        <v>0.29724511572146284</v>
      </c>
      <c r="D112" s="9">
        <v>0.152466730306964</v>
      </c>
      <c r="E112" s="7">
        <v>0.12167012385295362</v>
      </c>
      <c r="F112" s="7">
        <v>0.87583343080336817</v>
      </c>
      <c r="G112" s="9">
        <v>0.54076198954767651</v>
      </c>
      <c r="H112" s="7">
        <v>0.89494931992506888</v>
      </c>
    </row>
    <row r="113" spans="2:8" x14ac:dyDescent="0.3">
      <c r="B113" s="7">
        <v>8.7062965056478259E-2</v>
      </c>
      <c r="C113" s="7">
        <v>0.92025022541956258</v>
      </c>
      <c r="D113" s="9">
        <v>0.25893092995190337</v>
      </c>
      <c r="E113" s="7">
        <v>0.86034860027390325</v>
      </c>
      <c r="F113" s="7">
        <v>0.11681020744517773</v>
      </c>
      <c r="G113" s="9">
        <v>0.76577874644527633</v>
      </c>
      <c r="H113" s="7">
        <v>0.50225092844826613</v>
      </c>
    </row>
    <row r="114" spans="2:8" x14ac:dyDescent="0.3">
      <c r="B114" s="7">
        <v>0.96503195045165047</v>
      </c>
      <c r="C114" s="7">
        <v>6.676199629870605E-2</v>
      </c>
      <c r="D114" s="9">
        <v>0.50937355694698949</v>
      </c>
      <c r="E114" s="7">
        <v>0.63904264440658531</v>
      </c>
      <c r="F114" s="7">
        <v>0.24808746970500217</v>
      </c>
      <c r="G114" s="9">
        <v>0.50699223177504837</v>
      </c>
      <c r="H114" s="7">
        <v>0.91527419083625183</v>
      </c>
    </row>
    <row r="115" spans="2:8" x14ac:dyDescent="0.3">
      <c r="B115" s="7">
        <v>0.77570730900953833</v>
      </c>
      <c r="C115" s="7">
        <v>0.37121240708937825</v>
      </c>
      <c r="D115" s="9">
        <v>0.60561547460367571</v>
      </c>
      <c r="E115" s="7">
        <v>0.91274413907345586</v>
      </c>
      <c r="F115" s="7">
        <v>0.53904544614987127</v>
      </c>
      <c r="G115" s="9">
        <v>0.44477175078111086</v>
      </c>
      <c r="H115" s="7">
        <v>0.38182780410378386</v>
      </c>
    </row>
    <row r="116" spans="2:8" x14ac:dyDescent="0.3">
      <c r="B116" s="7">
        <v>0.16425479331762616</v>
      </c>
      <c r="C116" s="7">
        <v>0.61153820768281308</v>
      </c>
      <c r="D116" s="9">
        <v>0.60162835702300144</v>
      </c>
      <c r="E116" s="7">
        <v>0.18306958712449894</v>
      </c>
      <c r="F116" s="7">
        <v>0.27037655534709981</v>
      </c>
      <c r="G116" s="9">
        <v>0.4959529473294193</v>
      </c>
      <c r="H116" s="7">
        <v>0.65039441115048557</v>
      </c>
    </row>
    <row r="117" spans="2:8" x14ac:dyDescent="0.3">
      <c r="B117" s="7">
        <v>0.73987526327233266</v>
      </c>
      <c r="C117" s="7">
        <v>0.55132821856464709</v>
      </c>
      <c r="D117" s="9">
        <v>0.82341835459387291</v>
      </c>
      <c r="E117" s="7">
        <v>0.33274228151923513</v>
      </c>
      <c r="F117" s="7">
        <v>0.5338806573780126</v>
      </c>
      <c r="G117" s="9">
        <v>0.56037673242207475</v>
      </c>
      <c r="H117" s="7">
        <v>0.71346486625006822</v>
      </c>
    </row>
    <row r="118" spans="2:8" x14ac:dyDescent="0.3">
      <c r="B118" s="7">
        <v>0.2790792919138283</v>
      </c>
      <c r="C118" s="7">
        <v>0.19990478840394799</v>
      </c>
      <c r="D118" s="9">
        <v>0.95342572334838716</v>
      </c>
      <c r="E118" s="7">
        <v>5.3345861799429795E-2</v>
      </c>
      <c r="F118" s="7">
        <v>0.48348281458659703</v>
      </c>
      <c r="G118" s="9">
        <v>0.12383635974316576</v>
      </c>
      <c r="H118" s="7">
        <v>6.2669581284504616E-3</v>
      </c>
    </row>
    <row r="119" spans="2:8" x14ac:dyDescent="0.3">
      <c r="B119" s="7">
        <v>0.40349971052912359</v>
      </c>
      <c r="C119" s="7">
        <v>0.28164103674893348</v>
      </c>
      <c r="D119" s="9">
        <v>0.89257327581887314</v>
      </c>
      <c r="E119" s="7">
        <v>1.525347262443022E-3</v>
      </c>
      <c r="F119" s="7">
        <v>6.5910971830117404E-2</v>
      </c>
      <c r="G119" s="9">
        <v>4.6817525787600012E-2</v>
      </c>
      <c r="H119" s="7">
        <v>0.51280026472451756</v>
      </c>
    </row>
    <row r="120" spans="2:8" x14ac:dyDescent="0.3">
      <c r="B120" s="7">
        <v>0.29655123385947135</v>
      </c>
      <c r="C120" s="7">
        <v>7.5638797216751819E-2</v>
      </c>
      <c r="D120" s="9">
        <v>0.47599278718307581</v>
      </c>
      <c r="E120" s="7">
        <v>0.96208117784355363</v>
      </c>
      <c r="F120" s="7">
        <v>0.41870836706453096</v>
      </c>
      <c r="G120" s="9">
        <v>0.3427427242931122</v>
      </c>
      <c r="H120" s="7">
        <v>0.68371498906235484</v>
      </c>
    </row>
    <row r="121" spans="2:8" x14ac:dyDescent="0.3">
      <c r="B121" s="7">
        <v>0.42617583124618119</v>
      </c>
      <c r="C121" s="7">
        <v>0.49737027357800123</v>
      </c>
      <c r="D121" s="9">
        <v>0.93555287037555512</v>
      </c>
      <c r="E121" s="7">
        <v>0.18874764454877635</v>
      </c>
      <c r="F121" s="7">
        <v>0.95653071559059399</v>
      </c>
      <c r="G121" s="9">
        <v>0.32359745363227344</v>
      </c>
      <c r="H121" s="7">
        <v>0.22390505549609796</v>
      </c>
    </row>
    <row r="122" spans="2:8" x14ac:dyDescent="0.3">
      <c r="B122" s="7">
        <v>0.4111575540705541</v>
      </c>
      <c r="C122" s="7">
        <v>0.22385731990112046</v>
      </c>
      <c r="D122" s="9">
        <v>0.80718098983253483</v>
      </c>
      <c r="E122" s="7">
        <v>0.55350987378559302</v>
      </c>
      <c r="F122" s="7">
        <v>0.18277829110412691</v>
      </c>
      <c r="G122" s="9">
        <v>0.68268801783169542</v>
      </c>
      <c r="H122" s="7">
        <v>0.81050691566433675</v>
      </c>
    </row>
    <row r="123" spans="2:8" x14ac:dyDescent="0.3">
      <c r="B123" s="7">
        <v>0.80378854129358501</v>
      </c>
      <c r="C123" s="7">
        <v>0.37404369045303887</v>
      </c>
      <c r="D123" s="9">
        <v>0.18485211334563728</v>
      </c>
      <c r="E123" s="7">
        <v>0.79406918121981818</v>
      </c>
      <c r="F123" s="7">
        <v>0.37018112841484996</v>
      </c>
      <c r="G123" s="9">
        <v>0.58538370802764494</v>
      </c>
      <c r="H123" s="7">
        <v>0.80177220285978734</v>
      </c>
    </row>
    <row r="124" spans="2:8" x14ac:dyDescent="0.3">
      <c r="B124" s="7">
        <v>0.91141414559549694</v>
      </c>
      <c r="C124" s="7">
        <v>0.24254096705900219</v>
      </c>
      <c r="D124" s="9">
        <v>0.312288431963758</v>
      </c>
      <c r="E124" s="7">
        <v>0.31184196328991565</v>
      </c>
      <c r="F124" s="7">
        <v>0.4735718358668759</v>
      </c>
      <c r="G124" s="9">
        <v>2.0741523698482034E-2</v>
      </c>
      <c r="H124" s="7">
        <v>4.7994768681818956E-2</v>
      </c>
    </row>
    <row r="125" spans="2:8" x14ac:dyDescent="0.3">
      <c r="B125" s="7">
        <v>0.87233299908196749</v>
      </c>
      <c r="C125" s="7">
        <v>0.61317717981154596</v>
      </c>
      <c r="D125" s="9">
        <v>0.95079799399263032</v>
      </c>
      <c r="E125" s="7">
        <v>0.38756115896811938</v>
      </c>
      <c r="F125" s="7">
        <v>0.32747467607306469</v>
      </c>
      <c r="G125" s="9">
        <v>5.1229781154621401E-2</v>
      </c>
      <c r="H125" s="7">
        <v>0.27522973634542769</v>
      </c>
    </row>
    <row r="126" spans="2:8" x14ac:dyDescent="0.3">
      <c r="B126" s="7">
        <v>0.31996610211670351</v>
      </c>
      <c r="C126" s="7">
        <v>0.38763392372976591</v>
      </c>
      <c r="D126" s="9">
        <v>0.19387653394393656</v>
      </c>
      <c r="E126" s="7">
        <v>0.31447533894904289</v>
      </c>
      <c r="F126" s="7">
        <v>0.82141377514901048</v>
      </c>
      <c r="G126" s="9">
        <v>0.71692770439784081</v>
      </c>
      <c r="H126" s="7">
        <v>0.78439206665663441</v>
      </c>
    </row>
    <row r="127" spans="2:8" x14ac:dyDescent="0.3">
      <c r="B127" s="7">
        <v>0.88724204569661347</v>
      </c>
      <c r="C127" s="7">
        <v>0.13486498677375369</v>
      </c>
      <c r="D127" s="9">
        <v>0.24740441554865766</v>
      </c>
      <c r="E127" s="7">
        <v>0.88270447416422226</v>
      </c>
      <c r="F127" s="7">
        <v>0.33728303423970196</v>
      </c>
      <c r="G127" s="9">
        <v>0.51365964503961603</v>
      </c>
      <c r="H127" s="7">
        <v>0.70852338866936404</v>
      </c>
    </row>
    <row r="128" spans="2:8" x14ac:dyDescent="0.3">
      <c r="B128" s="7">
        <v>3.8609803513088181E-2</v>
      </c>
      <c r="C128" s="7">
        <v>0.49606465732635652</v>
      </c>
      <c r="D128" s="9">
        <v>0.74416666293604417</v>
      </c>
      <c r="E128" s="7">
        <v>0.34325375410999137</v>
      </c>
      <c r="F128" s="7">
        <v>0.22337110568515772</v>
      </c>
      <c r="G128" s="9">
        <v>0.75654469882107556</v>
      </c>
      <c r="H128" s="7">
        <v>0.5712095425542385</v>
      </c>
    </row>
    <row r="129" spans="2:8" x14ac:dyDescent="0.3">
      <c r="B129" s="7">
        <v>0.75964258515910643</v>
      </c>
      <c r="C129" s="7">
        <v>0.85819661600168562</v>
      </c>
      <c r="D129" s="9">
        <v>0.82848418229107357</v>
      </c>
      <c r="E129" s="7">
        <v>7.6896562819833036E-2</v>
      </c>
      <c r="F129" s="7">
        <v>0.99035836746602346</v>
      </c>
      <c r="G129" s="9">
        <v>0.57873551710014048</v>
      </c>
      <c r="H129" s="7">
        <v>0.55498119447978578</v>
      </c>
    </row>
    <row r="130" spans="2:8" x14ac:dyDescent="0.3">
      <c r="B130" s="7">
        <v>0.97370843083823044</v>
      </c>
      <c r="C130" s="7">
        <v>0.54073032154199119</v>
      </c>
      <c r="D130" s="9">
        <v>0.5344087949747367</v>
      </c>
      <c r="E130" s="7">
        <v>0.37148933109154925</v>
      </c>
      <c r="F130" s="7">
        <v>0.98231865523844153</v>
      </c>
      <c r="G130" s="9">
        <v>0.84593338235811122</v>
      </c>
      <c r="H130" s="7">
        <v>0.81114324630319956</v>
      </c>
    </row>
    <row r="131" spans="2:8" x14ac:dyDescent="0.3">
      <c r="B131" s="7">
        <v>7.8725898586495369E-2</v>
      </c>
      <c r="C131" s="7">
        <v>0.11278299780640744</v>
      </c>
      <c r="D131" s="9">
        <v>0.81294757917778337</v>
      </c>
      <c r="E131" s="7">
        <v>0.91469241455117367</v>
      </c>
      <c r="F131" s="7">
        <v>0.42613196686168386</v>
      </c>
      <c r="G131" s="9">
        <v>0.91203995556083139</v>
      </c>
      <c r="H131" s="7">
        <v>0.41543092487448274</v>
      </c>
    </row>
    <row r="132" spans="2:8" x14ac:dyDescent="0.3">
      <c r="B132" s="7">
        <v>0.34935500256929863</v>
      </c>
      <c r="C132" s="7">
        <v>0.70528515465818042</v>
      </c>
      <c r="D132" s="9">
        <v>0.65637573533056082</v>
      </c>
      <c r="E132" s="7">
        <v>0.70923923327290517</v>
      </c>
      <c r="F132" s="7">
        <v>4.3824188362367344E-2</v>
      </c>
      <c r="G132" s="9">
        <v>0.51837389257002542</v>
      </c>
      <c r="H132" s="7">
        <v>0.81670438357100839</v>
      </c>
    </row>
    <row r="133" spans="2:8" x14ac:dyDescent="0.3">
      <c r="B133" s="7">
        <v>0.21232151746763428</v>
      </c>
      <c r="C133" s="7">
        <v>0.25575831125925585</v>
      </c>
      <c r="D133" s="9">
        <v>0.24519440390224045</v>
      </c>
      <c r="E133" s="7">
        <v>0.95954665875697565</v>
      </c>
      <c r="F133" s="7">
        <v>0.65506918249753365</v>
      </c>
      <c r="G133" s="9">
        <v>0.7933187617198918</v>
      </c>
      <c r="H133" s="7">
        <v>0.69188183763438804</v>
      </c>
    </row>
    <row r="134" spans="2:8" x14ac:dyDescent="0.3">
      <c r="B134" s="7">
        <v>0.41057247289034327</v>
      </c>
      <c r="C134" s="7">
        <v>0.60079909738009363</v>
      </c>
      <c r="D134" s="9">
        <v>0.24112094893515224</v>
      </c>
      <c r="E134" s="7">
        <v>0.35208206971757927</v>
      </c>
      <c r="F134" s="7">
        <v>0.9589460790410913</v>
      </c>
      <c r="G134" s="9">
        <v>0.74685924309232465</v>
      </c>
      <c r="H134" s="7">
        <v>0.73537145880461985</v>
      </c>
    </row>
    <row r="135" spans="2:8" x14ac:dyDescent="0.3">
      <c r="B135" s="7">
        <v>0.91790517902939595</v>
      </c>
      <c r="C135" s="7">
        <v>0.14063647218631914</v>
      </c>
      <c r="D135" s="9">
        <v>0.5892374387349617</v>
      </c>
      <c r="E135" s="7">
        <v>0.27694907773280802</v>
      </c>
      <c r="F135" s="7">
        <v>3.8040702627338163E-2</v>
      </c>
      <c r="G135" s="9">
        <v>0.22707052397700256</v>
      </c>
      <c r="H135" s="7">
        <v>0.2328396897676317</v>
      </c>
    </row>
    <row r="136" spans="2:8" x14ac:dyDescent="0.3">
      <c r="B136" s="7">
        <v>0.43867532082891625</v>
      </c>
      <c r="C136" s="7">
        <v>0.23624488266599286</v>
      </c>
      <c r="D136" s="9">
        <v>0.44377699930056114</v>
      </c>
      <c r="E136" s="7">
        <v>0.24149740871187508</v>
      </c>
      <c r="F136" s="7">
        <v>0.24640997100134854</v>
      </c>
      <c r="G136" s="9">
        <v>2.7676830495334093E-2</v>
      </c>
      <c r="H136" s="7">
        <v>0.99169162335174343</v>
      </c>
    </row>
    <row r="137" spans="2:8" x14ac:dyDescent="0.3">
      <c r="B137" s="7">
        <v>0.61945627485992127</v>
      </c>
      <c r="C137" s="7">
        <v>0.74965210983148101</v>
      </c>
      <c r="D137" s="9">
        <v>1.3278794833636809E-2</v>
      </c>
      <c r="E137" s="7">
        <v>0.78441476271726551</v>
      </c>
      <c r="F137" s="7">
        <v>3.0134793427412099E-2</v>
      </c>
      <c r="G137" s="9">
        <v>0.50830502919525999</v>
      </c>
      <c r="H137" s="7">
        <v>0.36901225465332699</v>
      </c>
    </row>
    <row r="138" spans="2:8" x14ac:dyDescent="0.3">
      <c r="B138" s="7">
        <v>0.16296057209019321</v>
      </c>
      <c r="C138" s="7">
        <v>0.48795265483754058</v>
      </c>
      <c r="D138" s="9">
        <v>0.36640657643791408</v>
      </c>
      <c r="E138" s="7">
        <v>0.23724563675459809</v>
      </c>
      <c r="F138" s="7">
        <v>6.7293355091817331E-2</v>
      </c>
      <c r="G138" s="9">
        <v>0.53967432186784192</v>
      </c>
      <c r="H138" s="7">
        <v>0.9406757319438257</v>
      </c>
    </row>
    <row r="139" spans="2:8" x14ac:dyDescent="0.3">
      <c r="B139" s="7">
        <v>0.11444996601975199</v>
      </c>
      <c r="C139" s="7">
        <v>0.67750628697701121</v>
      </c>
      <c r="D139" s="9">
        <v>0.28895322345484864</v>
      </c>
      <c r="E139" s="7">
        <v>0.71958460710469807</v>
      </c>
      <c r="F139" s="7">
        <v>0.86148052178152001</v>
      </c>
      <c r="G139" s="9">
        <v>0.89978581742625097</v>
      </c>
      <c r="H139" s="7">
        <v>0.15812058257929618</v>
      </c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7" tint="0.39997558519241921"/>
  </sheetPr>
  <dimension ref="A1:Q130"/>
  <sheetViews>
    <sheetView showGridLines="0" workbookViewId="0">
      <selection activeCell="A29" sqref="A29"/>
    </sheetView>
  </sheetViews>
  <sheetFormatPr defaultRowHeight="15" x14ac:dyDescent="0.3"/>
  <cols>
    <col min="2" max="17" width="7.42578125" customWidth="1"/>
    <col min="18" max="26" width="8.7109375" bestFit="1" customWidth="1"/>
  </cols>
  <sheetData>
    <row r="1" spans="1:17" ht="21.75" x14ac:dyDescent="0.45">
      <c r="A1" s="78" t="s">
        <v>304</v>
      </c>
    </row>
    <row r="2" spans="1:17" s="1" customFormat="1" x14ac:dyDescent="0.3">
      <c r="A2" s="3" t="s">
        <v>295</v>
      </c>
      <c r="B2" s="1" t="s">
        <v>240</v>
      </c>
    </row>
    <row r="4" spans="1:17" ht="19.5" x14ac:dyDescent="0.4">
      <c r="B4" s="129" t="s">
        <v>40</v>
      </c>
      <c r="C4" s="83"/>
      <c r="D4" s="83"/>
      <c r="E4" s="83"/>
      <c r="F4" s="83"/>
      <c r="H4" s="131" t="s">
        <v>39</v>
      </c>
      <c r="I4" s="132"/>
      <c r="J4" s="132"/>
      <c r="K4" s="132"/>
    </row>
    <row r="5" spans="1:17" ht="19.5" x14ac:dyDescent="0.4">
      <c r="B5" s="6" t="s">
        <v>347</v>
      </c>
      <c r="H5" s="6" t="s">
        <v>121</v>
      </c>
    </row>
    <row r="6" spans="1:17" x14ac:dyDescent="0.3">
      <c r="B6" s="84" t="s">
        <v>345</v>
      </c>
      <c r="H6" s="84" t="s">
        <v>117</v>
      </c>
    </row>
    <row r="7" spans="1:17" ht="19.5" x14ac:dyDescent="0.4">
      <c r="B7" s="8"/>
    </row>
    <row r="8" spans="1:17" ht="19.5" x14ac:dyDescent="0.4">
      <c r="B8" s="6" t="s">
        <v>346</v>
      </c>
      <c r="H8" s="6" t="s">
        <v>122</v>
      </c>
    </row>
    <row r="9" spans="1:17" x14ac:dyDescent="0.3">
      <c r="B9" s="84" t="s">
        <v>348</v>
      </c>
      <c r="H9" s="84" t="s">
        <v>117</v>
      </c>
    </row>
    <row r="11" spans="1:17" x14ac:dyDescent="0.3">
      <c r="C11" s="5"/>
    </row>
    <row r="12" spans="1:17" ht="19.5" x14ac:dyDescent="0.4">
      <c r="B12" s="6" t="s">
        <v>349</v>
      </c>
      <c r="C12" s="5"/>
    </row>
    <row r="13" spans="1:17" ht="19.5" x14ac:dyDescent="0.4">
      <c r="B13" s="6"/>
      <c r="C13" s="5"/>
    </row>
    <row r="14" spans="1:17" x14ac:dyDescent="0.3">
      <c r="B14" s="11" t="s">
        <v>323</v>
      </c>
      <c r="C14" s="11" t="s">
        <v>326</v>
      </c>
      <c r="D14" s="13" t="s">
        <v>327</v>
      </c>
      <c r="E14" s="11" t="s">
        <v>328</v>
      </c>
      <c r="F14" s="11" t="s">
        <v>329</v>
      </c>
      <c r="G14" s="11" t="s">
        <v>330</v>
      </c>
      <c r="H14" s="11" t="s">
        <v>331</v>
      </c>
      <c r="I14" s="11" t="s">
        <v>336</v>
      </c>
      <c r="J14" s="11" t="s">
        <v>337</v>
      </c>
      <c r="K14" s="11" t="s">
        <v>338</v>
      </c>
      <c r="L14" s="13" t="s">
        <v>339</v>
      </c>
      <c r="M14" s="11" t="s">
        <v>340</v>
      </c>
      <c r="N14" s="11" t="s">
        <v>341</v>
      </c>
      <c r="O14" s="11" t="s">
        <v>342</v>
      </c>
      <c r="P14" s="11" t="s">
        <v>343</v>
      </c>
      <c r="Q14" s="11" t="s">
        <v>344</v>
      </c>
    </row>
    <row r="15" spans="1:17" x14ac:dyDescent="0.3">
      <c r="B15" s="12">
        <v>0.68791120840938302</v>
      </c>
      <c r="C15" s="12">
        <v>0.94032726978102055</v>
      </c>
      <c r="D15" s="14">
        <v>0.38704362769187539</v>
      </c>
      <c r="E15" s="12">
        <v>0.92507199713501409</v>
      </c>
      <c r="F15" s="12">
        <v>0.25201697429237724</v>
      </c>
      <c r="G15" s="12">
        <v>0.18832491303657628</v>
      </c>
      <c r="H15" s="12">
        <v>0.65341927563328306</v>
      </c>
      <c r="I15" s="12">
        <v>0.76861112991545344</v>
      </c>
      <c r="J15" s="12">
        <v>0.20269132983158222</v>
      </c>
      <c r="K15" s="12">
        <v>0.84452211158766288</v>
      </c>
      <c r="L15" s="14">
        <v>0.22623771160411116</v>
      </c>
      <c r="M15" s="12">
        <v>0.23311778987272103</v>
      </c>
      <c r="N15" s="12">
        <v>0.56475756916526265</v>
      </c>
      <c r="O15" s="12">
        <v>0.18375214928684103</v>
      </c>
      <c r="P15" s="12">
        <v>0.32111576955036281</v>
      </c>
      <c r="Q15" s="12">
        <v>0.61804430800802135</v>
      </c>
    </row>
    <row r="16" spans="1:17" x14ac:dyDescent="0.3">
      <c r="B16" s="12">
        <v>0.58940938006824783</v>
      </c>
      <c r="C16" s="12">
        <v>0.51887493745389257</v>
      </c>
      <c r="D16" s="14">
        <v>0.80918698871435546</v>
      </c>
      <c r="E16" s="12">
        <v>0.57124598581087316</v>
      </c>
      <c r="F16" s="12">
        <v>0.84380891778218547</v>
      </c>
      <c r="G16" s="12">
        <v>0.51339368346364034</v>
      </c>
      <c r="H16" s="12">
        <v>0.45523622568493582</v>
      </c>
      <c r="I16" s="12">
        <v>0.94164415942988633</v>
      </c>
      <c r="J16" s="12">
        <v>6.0127287839476073E-2</v>
      </c>
      <c r="K16" s="12">
        <v>0.21525900334057413</v>
      </c>
      <c r="L16" s="14">
        <v>0.74975364135917233</v>
      </c>
      <c r="M16" s="12">
        <v>0.20842348814831446</v>
      </c>
      <c r="N16" s="12">
        <v>0.24755836826984545</v>
      </c>
      <c r="O16" s="12">
        <v>0.39435544866116601</v>
      </c>
      <c r="P16" s="12">
        <v>0.18275927838949091</v>
      </c>
      <c r="Q16" s="12">
        <v>0.15596593587637919</v>
      </c>
    </row>
    <row r="17" spans="2:17" x14ac:dyDescent="0.3">
      <c r="B17" s="12">
        <v>0.70024699775255361</v>
      </c>
      <c r="C17" s="12">
        <v>0.36595256386078034</v>
      </c>
      <c r="D17" s="14">
        <v>0.17213548814087765</v>
      </c>
      <c r="E17" s="12">
        <v>0.1973797068419742</v>
      </c>
      <c r="F17" s="12">
        <v>0.20849159937256445</v>
      </c>
      <c r="G17" s="12">
        <v>8.5098650482408722E-2</v>
      </c>
      <c r="H17" s="12">
        <v>0.57332700208651777</v>
      </c>
      <c r="I17" s="12">
        <v>0.23160750743575687</v>
      </c>
      <c r="J17" s="12">
        <v>1.5933249346801404E-2</v>
      </c>
      <c r="K17" s="12">
        <v>0.59398486308522869</v>
      </c>
      <c r="L17" s="14">
        <v>0.71303771537796057</v>
      </c>
      <c r="M17" s="12">
        <v>0.93938905275736939</v>
      </c>
      <c r="N17" s="12">
        <v>0.79037885954417098</v>
      </c>
      <c r="O17" s="12">
        <v>0.61361180791521552</v>
      </c>
      <c r="P17" s="12">
        <v>0.54080258077323862</v>
      </c>
      <c r="Q17" s="12">
        <v>0.71965372229970459</v>
      </c>
    </row>
    <row r="18" spans="2:17" x14ac:dyDescent="0.3">
      <c r="B18" s="12">
        <v>0.22463026855285761</v>
      </c>
      <c r="C18" s="12">
        <v>0.71165339040580355</v>
      </c>
      <c r="D18" s="14">
        <v>5.5494939600630122E-2</v>
      </c>
      <c r="E18" s="12">
        <v>0.61798449807675027</v>
      </c>
      <c r="F18" s="12">
        <v>0.83928977315566966</v>
      </c>
      <c r="G18" s="12">
        <v>0.2874035361688041</v>
      </c>
      <c r="H18" s="12">
        <v>0.44115990552860573</v>
      </c>
      <c r="I18" s="12">
        <v>0.90433661636715357</v>
      </c>
      <c r="J18" s="12">
        <v>0.72133042211364629</v>
      </c>
      <c r="K18" s="12">
        <v>0.25764339861831398</v>
      </c>
      <c r="L18" s="14">
        <v>9.5076174623147658E-3</v>
      </c>
      <c r="M18" s="12">
        <v>0.82536307990813063</v>
      </c>
      <c r="N18" s="12">
        <v>0.90664447116438684</v>
      </c>
      <c r="O18" s="12">
        <v>6.0113458971358114E-3</v>
      </c>
      <c r="P18" s="12">
        <v>0.17376558116961704</v>
      </c>
      <c r="Q18" s="12">
        <v>0.50357367665126329</v>
      </c>
    </row>
    <row r="19" spans="2:17" x14ac:dyDescent="0.3">
      <c r="B19" s="12">
        <v>0.90402680518473399</v>
      </c>
      <c r="C19" s="12">
        <v>0.69749623221592927</v>
      </c>
      <c r="D19" s="14">
        <v>0.81249078356241444</v>
      </c>
      <c r="E19" s="12">
        <v>0.71300758766782413</v>
      </c>
      <c r="F19" s="12">
        <v>0.39570840344552849</v>
      </c>
      <c r="G19" s="12">
        <v>0.8613076328467193</v>
      </c>
      <c r="H19" s="12">
        <v>0.25393298454093394</v>
      </c>
      <c r="I19" s="12">
        <v>0.26736227310728333</v>
      </c>
      <c r="J19" s="12">
        <v>0.17337761549851671</v>
      </c>
      <c r="K19" s="12">
        <v>0.96340661139679984</v>
      </c>
      <c r="L19" s="14">
        <v>0.16388970984243478</v>
      </c>
      <c r="M19" s="12">
        <v>0.13866612351509744</v>
      </c>
      <c r="N19" s="12">
        <v>0.82969993394226993</v>
      </c>
      <c r="O19" s="12">
        <v>0.29719400706974075</v>
      </c>
      <c r="P19" s="12">
        <v>0.33227658143683314</v>
      </c>
      <c r="Q19" s="12">
        <v>0.23901286723826076</v>
      </c>
    </row>
    <row r="20" spans="2:17" x14ac:dyDescent="0.3">
      <c r="B20" s="12">
        <v>0.79924490807059811</v>
      </c>
      <c r="C20" s="12">
        <v>0.14401336523621056</v>
      </c>
      <c r="D20" s="14">
        <v>2.9447697790316418E-2</v>
      </c>
      <c r="E20" s="12">
        <v>0.80583050025111547</v>
      </c>
      <c r="F20" s="12">
        <v>0.69147733209447382</v>
      </c>
      <c r="G20" s="12">
        <v>0.82268875918201589</v>
      </c>
      <c r="H20" s="12">
        <v>0.20102026173926041</v>
      </c>
      <c r="I20" s="12">
        <v>0.10931851035917739</v>
      </c>
      <c r="J20" s="12">
        <v>0.42916712200073892</v>
      </c>
      <c r="K20" s="12">
        <v>0.49314617220761114</v>
      </c>
      <c r="L20" s="14">
        <v>0.29676101071630989</v>
      </c>
      <c r="M20" s="12">
        <v>0.49208216837693453</v>
      </c>
      <c r="N20" s="12">
        <v>0.62153357048258795</v>
      </c>
      <c r="O20" s="12">
        <v>0.56275052574899043</v>
      </c>
      <c r="P20" s="12">
        <v>0.79088195987688703</v>
      </c>
      <c r="Q20" s="12">
        <v>9.2723649316492907E-3</v>
      </c>
    </row>
    <row r="21" spans="2:17" x14ac:dyDescent="0.3">
      <c r="B21" s="12">
        <v>0.12512706945599028</v>
      </c>
      <c r="C21" s="12">
        <v>0.2343799717905044</v>
      </c>
      <c r="D21" s="14">
        <v>0.66179656221518757</v>
      </c>
      <c r="E21" s="12">
        <v>0.44675321787768096</v>
      </c>
      <c r="F21" s="12">
        <v>0.32102039263889037</v>
      </c>
      <c r="G21" s="12">
        <v>0.1412094555414658</v>
      </c>
      <c r="H21" s="12">
        <v>0.22501649250657163</v>
      </c>
      <c r="I21" s="12">
        <v>3.8461152680754118E-2</v>
      </c>
      <c r="J21" s="12">
        <v>0.56261565671648195</v>
      </c>
      <c r="K21" s="12">
        <v>0.46331048217310267</v>
      </c>
      <c r="L21" s="14">
        <v>0.42997122308843894</v>
      </c>
      <c r="M21" s="12">
        <v>0.80724952369323533</v>
      </c>
      <c r="N21" s="12">
        <v>0.46963727297484947</v>
      </c>
      <c r="O21" s="12">
        <v>0.22637098211237938</v>
      </c>
      <c r="P21" s="12">
        <v>9.3035120904671587E-2</v>
      </c>
      <c r="Q21" s="12">
        <v>0.78169058398193325</v>
      </c>
    </row>
    <row r="22" spans="2:17" x14ac:dyDescent="0.3">
      <c r="B22" s="12">
        <v>0.51155041590881467</v>
      </c>
      <c r="C22" s="12">
        <v>0.43118402718337823</v>
      </c>
      <c r="D22" s="14">
        <v>0.67123887854072772</v>
      </c>
      <c r="E22" s="12">
        <v>0.13856478030637076</v>
      </c>
      <c r="F22" s="12">
        <v>0.46985534162848563</v>
      </c>
      <c r="G22" s="12">
        <v>0.10401225780076295</v>
      </c>
      <c r="H22" s="12">
        <v>0.51104134695814718</v>
      </c>
      <c r="I22" s="12">
        <v>0.76828702901782497</v>
      </c>
      <c r="J22" s="12">
        <v>0.83065151956145344</v>
      </c>
      <c r="K22" s="12">
        <v>9.6903076475988836E-2</v>
      </c>
      <c r="L22" s="14">
        <v>0.3695656219190806</v>
      </c>
      <c r="M22" s="12">
        <v>0.44998947246184073</v>
      </c>
      <c r="N22" s="12">
        <v>0.26745855570179788</v>
      </c>
      <c r="O22" s="12">
        <v>9.5024122355204854E-2</v>
      </c>
      <c r="P22" s="12">
        <v>6.3265028052118311E-2</v>
      </c>
      <c r="Q22" s="12">
        <v>0.24644512913724959</v>
      </c>
    </row>
    <row r="23" spans="2:17" x14ac:dyDescent="0.3">
      <c r="B23" s="12">
        <v>0.67814860742543215</v>
      </c>
      <c r="C23" s="12">
        <v>0.96999271893964512</v>
      </c>
      <c r="D23" s="14">
        <v>0.48487108202201323</v>
      </c>
      <c r="E23" s="12">
        <v>0.83539130764104641</v>
      </c>
      <c r="F23" s="12">
        <v>0.48041401183317678</v>
      </c>
      <c r="G23" s="12">
        <v>0.76156681526678049</v>
      </c>
      <c r="H23" s="12">
        <v>0.44074593582085853</v>
      </c>
      <c r="I23" s="12">
        <v>0.19902361762517806</v>
      </c>
      <c r="J23" s="12">
        <v>0.11847062253354945</v>
      </c>
      <c r="K23" s="12">
        <v>0.70523072663737807</v>
      </c>
      <c r="L23" s="14">
        <v>0.55134309531316905</v>
      </c>
      <c r="M23" s="12">
        <v>0.69090601063012835</v>
      </c>
      <c r="N23" s="12">
        <v>0.41247608560820614</v>
      </c>
      <c r="O23" s="12">
        <v>0.17977910147311893</v>
      </c>
      <c r="P23" s="12">
        <v>0.9333194685498114</v>
      </c>
      <c r="Q23" s="12">
        <v>0.86190945273301467</v>
      </c>
    </row>
    <row r="24" spans="2:17" x14ac:dyDescent="0.3">
      <c r="B24" s="14">
        <v>0.10807952330598924</v>
      </c>
      <c r="C24" s="14">
        <v>0.34467144898809066</v>
      </c>
      <c r="D24" s="14">
        <v>0.35376769099656724</v>
      </c>
      <c r="E24" s="14">
        <v>0.19390056739583805</v>
      </c>
      <c r="F24" s="14">
        <v>0.328588324359532</v>
      </c>
      <c r="G24" s="14">
        <v>0.26018179135186625</v>
      </c>
      <c r="H24" s="14">
        <v>0.25366558159983477</v>
      </c>
      <c r="I24" s="14">
        <v>4.8824413498509855E-2</v>
      </c>
      <c r="J24" s="14">
        <v>0.68195119825516115</v>
      </c>
      <c r="K24" s="14">
        <v>3.5953095519201728E-2</v>
      </c>
      <c r="L24" s="14">
        <v>0.36267450845413585</v>
      </c>
      <c r="M24" s="14">
        <v>0.41730373689436018</v>
      </c>
      <c r="N24" s="14">
        <v>0.19278411254024652</v>
      </c>
      <c r="O24" s="14">
        <v>4.2782316299802448E-2</v>
      </c>
      <c r="P24" s="14">
        <v>0.73245054847043178</v>
      </c>
      <c r="Q24" s="14">
        <v>0.21762990306246466</v>
      </c>
    </row>
    <row r="25" spans="2:17" x14ac:dyDescent="0.3">
      <c r="B25" s="12">
        <v>0.71599857425116675</v>
      </c>
      <c r="C25" s="12">
        <v>0.64488807834327933</v>
      </c>
      <c r="D25" s="14">
        <v>0.47117326918677627</v>
      </c>
      <c r="E25" s="12">
        <v>0.20497945464063982</v>
      </c>
      <c r="F25" s="12">
        <v>0.17971201412953963</v>
      </c>
      <c r="G25" s="12">
        <v>0.53694995636487342</v>
      </c>
      <c r="H25" s="12">
        <v>0.37004967694942104</v>
      </c>
      <c r="I25" s="12">
        <v>0.17447705173220407</v>
      </c>
      <c r="J25" s="12">
        <v>0.98709951003069651</v>
      </c>
      <c r="K25" s="12">
        <v>0.58442825543900589</v>
      </c>
      <c r="L25" s="14">
        <v>0.10062143145058311</v>
      </c>
      <c r="M25" s="12">
        <v>0.92492745462852977</v>
      </c>
      <c r="N25" s="12">
        <v>0.29464336689520687</v>
      </c>
      <c r="O25" s="12">
        <v>0.22446564525828827</v>
      </c>
      <c r="P25" s="12">
        <v>0.32974116460324598</v>
      </c>
      <c r="Q25" s="12">
        <v>0.24672332207942027</v>
      </c>
    </row>
    <row r="26" spans="2:17" x14ac:dyDescent="0.3">
      <c r="B26" s="14">
        <v>0.85650940772725992</v>
      </c>
      <c r="C26" s="14">
        <v>0.96242919036362484</v>
      </c>
      <c r="D26" s="14">
        <v>0.3773109971360924</v>
      </c>
      <c r="E26" s="14">
        <v>0.73535766790590018</v>
      </c>
      <c r="F26" s="14">
        <v>0.70040171076755708</v>
      </c>
      <c r="G26" s="14">
        <v>0.72456404712159039</v>
      </c>
      <c r="H26" s="14">
        <v>0.79202450521672141</v>
      </c>
      <c r="I26" s="14">
        <v>0.60791390170379955</v>
      </c>
      <c r="J26" s="14">
        <v>0.18180123399409553</v>
      </c>
      <c r="K26" s="14">
        <v>0.74757375422253869</v>
      </c>
      <c r="L26" s="14">
        <v>0.44427351535248505</v>
      </c>
      <c r="M26" s="14">
        <v>2.3576180621174947E-2</v>
      </c>
      <c r="N26" s="14">
        <v>0.11825121746472833</v>
      </c>
      <c r="O26" s="14">
        <v>0.28617399919864739</v>
      </c>
      <c r="P26" s="14">
        <v>0.29432513397015025</v>
      </c>
      <c r="Q26" s="14">
        <v>0.87617962871748278</v>
      </c>
    </row>
    <row r="27" spans="2:17" x14ac:dyDescent="0.3">
      <c r="B27" s="12">
        <v>0.31912871410277344</v>
      </c>
      <c r="C27" s="12">
        <v>0.27233343536316212</v>
      </c>
      <c r="D27" s="14">
        <v>0.65595544834188235</v>
      </c>
      <c r="E27" s="12">
        <v>0.12946190079173897</v>
      </c>
      <c r="F27" s="12">
        <v>0.39816794594056026</v>
      </c>
      <c r="G27" s="12">
        <v>0.72749466973513255</v>
      </c>
      <c r="H27" s="12">
        <v>0.251803252891456</v>
      </c>
      <c r="I27" s="12">
        <v>0.79191879548849275</v>
      </c>
      <c r="J27" s="12">
        <v>0.64554490614375304</v>
      </c>
      <c r="K27" s="12">
        <v>0.37845796459712644</v>
      </c>
      <c r="L27" s="14">
        <v>0.52105346906427785</v>
      </c>
      <c r="M27" s="12">
        <v>0.71172050913520968</v>
      </c>
      <c r="N27" s="12">
        <v>3.3904838009743976E-3</v>
      </c>
      <c r="O27" s="12">
        <v>0.13556926224960381</v>
      </c>
      <c r="P27" s="12">
        <v>0.97670313037244316</v>
      </c>
      <c r="Q27" s="12">
        <v>0.36696897209654655</v>
      </c>
    </row>
    <row r="28" spans="2:17" x14ac:dyDescent="0.3">
      <c r="B28" s="12">
        <v>0.1125583941528332</v>
      </c>
      <c r="C28" s="12">
        <v>0.85542181742178425</v>
      </c>
      <c r="D28" s="14">
        <v>0.6350368236048769</v>
      </c>
      <c r="E28" s="12">
        <v>0.53586839483702553</v>
      </c>
      <c r="F28" s="12">
        <v>0.81149963153009752</v>
      </c>
      <c r="G28" s="12">
        <v>0.89096061653661551</v>
      </c>
      <c r="H28" s="12">
        <v>0.48369456666332322</v>
      </c>
      <c r="I28" s="12">
        <v>0.33771709129307781</v>
      </c>
      <c r="J28" s="12">
        <v>9.4633193275504013E-3</v>
      </c>
      <c r="K28" s="12">
        <v>0.69984120535726757</v>
      </c>
      <c r="L28" s="14">
        <v>0.89334280582283832</v>
      </c>
      <c r="M28" s="12">
        <v>0.46576106950710994</v>
      </c>
      <c r="N28" s="12">
        <v>7.9925739580714472E-2</v>
      </c>
      <c r="O28" s="12">
        <v>0.42650562203579678</v>
      </c>
      <c r="P28" s="12">
        <v>0.40284886803176212</v>
      </c>
      <c r="Q28" s="12">
        <v>0.25822027286577809</v>
      </c>
    </row>
    <row r="29" spans="2:17" x14ac:dyDescent="0.3">
      <c r="B29" s="12">
        <v>0.29026381513252275</v>
      </c>
      <c r="C29" s="12">
        <v>0.96297603835539491</v>
      </c>
      <c r="D29" s="14">
        <v>0.85956516776972602</v>
      </c>
      <c r="E29" s="12">
        <v>4.6914384982976287E-2</v>
      </c>
      <c r="F29" s="12">
        <v>0.72166055823303399</v>
      </c>
      <c r="G29" s="12">
        <v>0.25925718398890574</v>
      </c>
      <c r="H29" s="12">
        <v>0.46575262157857988</v>
      </c>
      <c r="I29" s="12">
        <v>0.45635392917117823</v>
      </c>
      <c r="J29" s="12">
        <v>0.3567588670069608</v>
      </c>
      <c r="K29" s="12">
        <v>0.63414462187976106</v>
      </c>
      <c r="L29" s="14">
        <v>0.2441386461752435</v>
      </c>
      <c r="M29" s="12">
        <v>0.35181563692539752</v>
      </c>
      <c r="N29" s="12">
        <v>0.50776813581364633</v>
      </c>
      <c r="O29" s="12">
        <v>0.33822687322616396</v>
      </c>
      <c r="P29" s="12">
        <v>0.21787437167800316</v>
      </c>
      <c r="Q29" s="12">
        <v>0.40497065603931759</v>
      </c>
    </row>
    <row r="30" spans="2:17" x14ac:dyDescent="0.3">
      <c r="B30" s="12">
        <v>0.21669575118743123</v>
      </c>
      <c r="C30" s="12">
        <v>0.12131311224185559</v>
      </c>
      <c r="D30" s="14">
        <v>0.78116097231560055</v>
      </c>
      <c r="E30" s="12">
        <v>0.80428535128959044</v>
      </c>
      <c r="F30" s="12">
        <v>0.14636171868487402</v>
      </c>
      <c r="G30" s="12">
        <v>0.66104801731425078</v>
      </c>
      <c r="H30" s="12">
        <v>0.71142854244183074</v>
      </c>
      <c r="I30" s="12">
        <v>0.78342181946238654</v>
      </c>
      <c r="J30" s="12">
        <v>0.94488599449063049</v>
      </c>
      <c r="K30" s="12">
        <v>0.24647880065089778</v>
      </c>
      <c r="L30" s="14">
        <v>6.831452134946514E-2</v>
      </c>
      <c r="M30" s="12">
        <v>0.57567075219797048</v>
      </c>
      <c r="N30" s="12">
        <v>0.80320555970068508</v>
      </c>
      <c r="O30" s="12">
        <v>0.48775258588069548</v>
      </c>
      <c r="P30" s="12">
        <v>0.68616040693866354</v>
      </c>
      <c r="Q30" s="12">
        <v>5.9048648184588437E-2</v>
      </c>
    </row>
    <row r="31" spans="2:17" x14ac:dyDescent="0.3">
      <c r="B31" s="12">
        <v>0.53732910758872809</v>
      </c>
      <c r="C31" s="12">
        <v>0.89318373541920693</v>
      </c>
      <c r="D31" s="14">
        <v>0.40329813461965447</v>
      </c>
      <c r="E31" s="12">
        <v>0.63683492046467727</v>
      </c>
      <c r="F31" s="12">
        <v>0.23893088983078936</v>
      </c>
      <c r="G31" s="12">
        <v>0.99577686901938378</v>
      </c>
      <c r="H31" s="12">
        <v>0.55212394295242695</v>
      </c>
      <c r="I31" s="12">
        <v>0.22933772920771922</v>
      </c>
      <c r="J31" s="12">
        <v>0.94465809804729783</v>
      </c>
      <c r="K31" s="12">
        <v>0.83675456127790793</v>
      </c>
      <c r="L31" s="14">
        <v>0.65165524854263701</v>
      </c>
      <c r="M31" s="12">
        <v>0.22043188324069263</v>
      </c>
      <c r="N31" s="12">
        <v>0.81441932554477692</v>
      </c>
      <c r="O31" s="12">
        <v>0.44859517683338446</v>
      </c>
      <c r="P31" s="12">
        <v>0.63675629666049272</v>
      </c>
      <c r="Q31" s="12">
        <v>7.0370947239506876E-2</v>
      </c>
    </row>
    <row r="32" spans="2:17" x14ac:dyDescent="0.3">
      <c r="B32" s="12">
        <v>0.64156768667961295</v>
      </c>
      <c r="C32" s="12">
        <v>0.43576868879282116</v>
      </c>
      <c r="D32" s="14">
        <v>0.8237267502240404</v>
      </c>
      <c r="E32" s="12">
        <v>0.63609475307423069</v>
      </c>
      <c r="F32" s="12">
        <v>0.822791675574158</v>
      </c>
      <c r="G32" s="12">
        <v>0.48739055858210989</v>
      </c>
      <c r="H32" s="12">
        <v>7.7961970022999205E-2</v>
      </c>
      <c r="I32" s="12">
        <v>0.52969871868551621</v>
      </c>
      <c r="J32" s="12">
        <v>0.33445223056532658</v>
      </c>
      <c r="K32" s="12">
        <v>0.3599320932006933</v>
      </c>
      <c r="L32" s="14">
        <v>0.44817537429673138</v>
      </c>
      <c r="M32" s="12">
        <v>0.6546253753247151</v>
      </c>
      <c r="N32" s="12">
        <v>0.50382147240741437</v>
      </c>
      <c r="O32" s="12">
        <v>0.96982899182421933</v>
      </c>
      <c r="P32" s="12">
        <v>0.74817551079595956</v>
      </c>
      <c r="Q32" s="12">
        <v>0.46813047701970456</v>
      </c>
    </row>
    <row r="33" spans="2:17" x14ac:dyDescent="0.3">
      <c r="B33" s="12">
        <v>0.38578597219655375</v>
      </c>
      <c r="C33" s="12">
        <v>0.28755910347381541</v>
      </c>
      <c r="D33" s="14">
        <v>0.41614128493064051</v>
      </c>
      <c r="E33" s="12">
        <v>0.5392279372808586</v>
      </c>
      <c r="F33" s="12">
        <v>1.7340262545661345E-2</v>
      </c>
      <c r="G33" s="12">
        <v>0.14597860874653668</v>
      </c>
      <c r="H33" s="12">
        <v>0.85000162141547664</v>
      </c>
      <c r="I33" s="12">
        <v>0.72315380973251653</v>
      </c>
      <c r="J33" s="12">
        <v>0.94515409109818482</v>
      </c>
      <c r="K33" s="12">
        <v>0.66466441394876341</v>
      </c>
      <c r="L33" s="14">
        <v>0.73909764762834929</v>
      </c>
      <c r="M33" s="12">
        <v>0.3508787303954306</v>
      </c>
      <c r="N33" s="12">
        <v>0.4658898466353425</v>
      </c>
      <c r="O33" s="12">
        <v>0.11182222436469003</v>
      </c>
      <c r="P33" s="12">
        <v>0.80059316169463135</v>
      </c>
      <c r="Q33" s="12">
        <v>0.17911182066747955</v>
      </c>
    </row>
    <row r="34" spans="2:17" x14ac:dyDescent="0.3">
      <c r="B34" s="12">
        <v>0.35781589017459181</v>
      </c>
      <c r="C34" s="12">
        <v>0.24638654574039842</v>
      </c>
      <c r="D34" s="14">
        <v>2.9665680661434601E-2</v>
      </c>
      <c r="E34" s="12">
        <v>0.87481576520094695</v>
      </c>
      <c r="F34" s="12">
        <v>0.7461186557793571</v>
      </c>
      <c r="G34" s="12">
        <v>0.88607843996913527</v>
      </c>
      <c r="H34" s="12">
        <v>0.62124410833434984</v>
      </c>
      <c r="I34" s="12">
        <v>0.97143248531219983</v>
      </c>
      <c r="J34" s="12">
        <v>0.84007139276339471</v>
      </c>
      <c r="K34" s="12">
        <v>3.6282702094863284E-2</v>
      </c>
      <c r="L34" s="14">
        <v>0.41121411573787903</v>
      </c>
      <c r="M34" s="12">
        <v>0.91660951058879281</v>
      </c>
      <c r="N34" s="12">
        <v>0.97652814754773765</v>
      </c>
      <c r="O34" s="12">
        <v>0.25799495246004178</v>
      </c>
      <c r="P34" s="12">
        <v>0.44078416816960431</v>
      </c>
      <c r="Q34" s="12">
        <v>0.8043046607723543</v>
      </c>
    </row>
    <row r="35" spans="2:17" x14ac:dyDescent="0.3">
      <c r="B35" s="12">
        <v>0.25644300180055923</v>
      </c>
      <c r="C35" s="12">
        <v>0.92537006969188895</v>
      </c>
      <c r="D35" s="14">
        <v>0.5293087893391144</v>
      </c>
      <c r="E35" s="12">
        <v>0.69338483607032231</v>
      </c>
      <c r="F35" s="12">
        <v>0.5450038975460112</v>
      </c>
      <c r="G35" s="12">
        <v>0.47012358185414449</v>
      </c>
      <c r="H35" s="12">
        <v>0.28627923648118903</v>
      </c>
      <c r="I35" s="12">
        <v>0.66662191026265827</v>
      </c>
      <c r="J35" s="12">
        <v>0.26103330218994825</v>
      </c>
      <c r="K35" s="12">
        <v>0.97721705348835464</v>
      </c>
      <c r="L35" s="14">
        <v>0.28539853189946052</v>
      </c>
      <c r="M35" s="12">
        <v>6.6207863859491844E-2</v>
      </c>
      <c r="N35" s="12">
        <v>0.7739798468103487</v>
      </c>
      <c r="O35" s="12">
        <v>0.89438552549816652</v>
      </c>
      <c r="P35" s="12">
        <v>0.35877129775017202</v>
      </c>
      <c r="Q35" s="12">
        <v>0.38141619492214951</v>
      </c>
    </row>
    <row r="36" spans="2:17" x14ac:dyDescent="0.3">
      <c r="B36" s="12">
        <v>0.43669121247128562</v>
      </c>
      <c r="C36" s="12">
        <v>0.5762205875677342</v>
      </c>
      <c r="D36" s="14">
        <v>0.25884203203589617</v>
      </c>
      <c r="E36" s="12">
        <v>0.78366550860478634</v>
      </c>
      <c r="F36" s="12">
        <v>0.16087849917500585</v>
      </c>
      <c r="G36" s="12">
        <v>0.50289419949324898</v>
      </c>
      <c r="H36" s="12">
        <v>0.52378048002262112</v>
      </c>
      <c r="I36" s="12">
        <v>0.21200893808098531</v>
      </c>
      <c r="J36" s="12">
        <v>0.53449118566526299</v>
      </c>
      <c r="K36" s="12">
        <v>0.91090175851340405</v>
      </c>
      <c r="L36" s="14">
        <v>2.594324022054284E-2</v>
      </c>
      <c r="M36" s="12">
        <v>4.0526513188450686E-2</v>
      </c>
      <c r="N36" s="12">
        <v>0.13626068876234787</v>
      </c>
      <c r="O36" s="12">
        <v>0.96183771965894138</v>
      </c>
      <c r="P36" s="12">
        <v>7.6493573459379682E-4</v>
      </c>
      <c r="Q36" s="12">
        <v>0.23201004876809472</v>
      </c>
    </row>
    <row r="37" spans="2:17" x14ac:dyDescent="0.3">
      <c r="B37" s="12">
        <v>0.30505201764305578</v>
      </c>
      <c r="C37" s="12">
        <v>0.86640026356093713</v>
      </c>
      <c r="D37" s="14">
        <v>0.6004384030501102</v>
      </c>
      <c r="E37" s="12">
        <v>0.75183199876550266</v>
      </c>
      <c r="F37" s="12">
        <v>0.70801230640025348</v>
      </c>
      <c r="G37" s="12">
        <v>0.36759197682935918</v>
      </c>
      <c r="H37" s="12">
        <v>0.72012882697669878</v>
      </c>
      <c r="I37" s="12">
        <v>0.92031082681824294</v>
      </c>
      <c r="J37" s="12">
        <v>0.71346117931056718</v>
      </c>
      <c r="K37" s="12">
        <v>0.55197506875128699</v>
      </c>
      <c r="L37" s="14">
        <v>0.98424262397257611</v>
      </c>
      <c r="M37" s="12">
        <v>0.81354596904040144</v>
      </c>
      <c r="N37" s="12">
        <v>0.66319726143805457</v>
      </c>
      <c r="O37" s="12">
        <v>0.92627167250823494</v>
      </c>
      <c r="P37" s="12">
        <v>0.37697724122845599</v>
      </c>
      <c r="Q37" s="12">
        <v>0.56754391265262161</v>
      </c>
    </row>
    <row r="38" spans="2:17" x14ac:dyDescent="0.3">
      <c r="B38" s="12">
        <v>0.45265655163613694</v>
      </c>
      <c r="C38" s="12">
        <v>0.93066474403311528</v>
      </c>
      <c r="D38" s="14">
        <v>0.6549877668890205</v>
      </c>
      <c r="E38" s="12">
        <v>0.17224112665899005</v>
      </c>
      <c r="F38" s="12">
        <v>0.66118270256747569</v>
      </c>
      <c r="G38" s="12">
        <v>0.85668303911270982</v>
      </c>
      <c r="H38" s="12">
        <v>0.44568775498804403</v>
      </c>
      <c r="I38" s="12">
        <v>0.1077773481652109</v>
      </c>
      <c r="J38" s="12">
        <v>0.28744714053295639</v>
      </c>
      <c r="K38" s="12">
        <v>0.25987547326556903</v>
      </c>
      <c r="L38" s="14">
        <v>0.4516826912432208</v>
      </c>
      <c r="M38" s="12">
        <v>0.31832218199517293</v>
      </c>
      <c r="N38" s="12">
        <v>0.31037788410665268</v>
      </c>
      <c r="O38" s="12">
        <v>0.16422722813676205</v>
      </c>
      <c r="P38" s="12">
        <v>9.7663837901334372E-2</v>
      </c>
      <c r="Q38" s="12">
        <v>0.7296236904046336</v>
      </c>
    </row>
    <row r="39" spans="2:17" x14ac:dyDescent="0.3">
      <c r="B39" s="12">
        <v>0.81358947598163245</v>
      </c>
      <c r="C39" s="12">
        <v>9.8948176978723268E-2</v>
      </c>
      <c r="D39" s="14">
        <v>0.67924682798165592</v>
      </c>
      <c r="E39" s="12">
        <v>3.284376299958236E-2</v>
      </c>
      <c r="F39" s="12">
        <v>1.0516548140415694E-4</v>
      </c>
      <c r="G39" s="12">
        <v>0.78162953208128472</v>
      </c>
      <c r="H39" s="12">
        <v>0.30777396352213204</v>
      </c>
      <c r="I39" s="12">
        <v>0.27602392919899743</v>
      </c>
      <c r="J39" s="12">
        <v>0.64508057678705821</v>
      </c>
      <c r="K39" s="12">
        <v>0.47683906516346153</v>
      </c>
      <c r="L39" s="14">
        <v>0.66582164207875927</v>
      </c>
      <c r="M39" s="12">
        <v>0.8061379475952104</v>
      </c>
      <c r="N39" s="12">
        <v>0.37605192229457751</v>
      </c>
      <c r="O39" s="12">
        <v>0.45939413923690986</v>
      </c>
      <c r="P39" s="12">
        <v>0.44543959122737409</v>
      </c>
      <c r="Q39" s="12">
        <v>0.64378247234622599</v>
      </c>
    </row>
    <row r="40" spans="2:17" x14ac:dyDescent="0.3">
      <c r="B40" s="12">
        <v>0.66038090400096761</v>
      </c>
      <c r="C40" s="12">
        <v>0.37500386270495589</v>
      </c>
      <c r="D40" s="14">
        <v>0.9484738780743589</v>
      </c>
      <c r="E40" s="12">
        <v>0.99996754200309224</v>
      </c>
      <c r="F40" s="12">
        <v>0.97705736579279368</v>
      </c>
      <c r="G40" s="12">
        <v>0.58719435549272614</v>
      </c>
      <c r="H40" s="12">
        <v>0.48184371863672615</v>
      </c>
      <c r="I40" s="12">
        <v>0.41162080742834584</v>
      </c>
      <c r="J40" s="12">
        <v>0.62003821501873535</v>
      </c>
      <c r="K40" s="12">
        <v>0.78182348572215865</v>
      </c>
      <c r="L40" s="14">
        <v>9.650715334390525E-2</v>
      </c>
      <c r="M40" s="12">
        <v>0.36329707805278399</v>
      </c>
      <c r="N40" s="12">
        <v>0.96633699838497722</v>
      </c>
      <c r="O40" s="12">
        <v>0.14714191028416712</v>
      </c>
      <c r="P40" s="12">
        <v>0.92849727645199853</v>
      </c>
      <c r="Q40" s="12">
        <v>0.12631854205455184</v>
      </c>
    </row>
    <row r="41" spans="2:17" x14ac:dyDescent="0.3">
      <c r="B41" s="12">
        <v>0.82466076148682399</v>
      </c>
      <c r="C41" s="12">
        <v>0.92570820072657889</v>
      </c>
      <c r="D41" s="14">
        <v>3.5732372101397125E-2</v>
      </c>
      <c r="E41" s="12">
        <v>0.70380109476868746</v>
      </c>
      <c r="F41" s="12">
        <v>0.41118389406590494</v>
      </c>
      <c r="G41" s="12">
        <v>0.34219832032204467</v>
      </c>
      <c r="H41" s="12">
        <v>0.45167328889684155</v>
      </c>
      <c r="I41" s="12">
        <v>0.2506592454400729</v>
      </c>
      <c r="J41" s="12">
        <v>7.8872123820793671E-2</v>
      </c>
      <c r="K41" s="12">
        <v>0.15482335646728851</v>
      </c>
      <c r="L41" s="14">
        <v>0.43528347313389437</v>
      </c>
      <c r="M41" s="12">
        <v>8.9006889721621185E-2</v>
      </c>
      <c r="N41" s="12">
        <v>0.26991219983209835</v>
      </c>
      <c r="O41" s="12">
        <v>0.85802830966104082</v>
      </c>
      <c r="P41" s="12">
        <v>5.8903219034978527E-2</v>
      </c>
      <c r="Q41" s="12">
        <v>0.73138395204100881</v>
      </c>
    </row>
    <row r="42" spans="2:17" x14ac:dyDescent="0.3">
      <c r="B42" s="12">
        <v>0.81159006913014164</v>
      </c>
      <c r="C42" s="12">
        <v>5.770455908432659E-2</v>
      </c>
      <c r="D42" s="14">
        <v>0.88838249542619163</v>
      </c>
      <c r="E42" s="12">
        <v>0.8732910963334497</v>
      </c>
      <c r="F42" s="12">
        <v>0.92706716062642602</v>
      </c>
      <c r="G42" s="12">
        <v>3.4785702149803921E-2</v>
      </c>
      <c r="H42" s="12">
        <v>0.96732533965623557</v>
      </c>
      <c r="I42" s="12">
        <v>0.80031747117778029</v>
      </c>
      <c r="J42" s="12">
        <v>0.65834818024306685</v>
      </c>
      <c r="K42" s="12">
        <v>0.49860793393435521</v>
      </c>
      <c r="L42" s="14">
        <v>0.60503194358975998</v>
      </c>
      <c r="M42" s="12">
        <v>0.19985963169455112</v>
      </c>
      <c r="N42" s="12">
        <v>0.53644374421095709</v>
      </c>
      <c r="O42" s="12">
        <v>0.96150416528521099</v>
      </c>
      <c r="P42" s="12">
        <v>0.38341615802718731</v>
      </c>
      <c r="Q42" s="12">
        <v>0.60221453733373309</v>
      </c>
    </row>
    <row r="43" spans="2:17" x14ac:dyDescent="0.3">
      <c r="B43" s="12">
        <v>0.45511566506666945</v>
      </c>
      <c r="C43" s="12">
        <v>0.60534464137325639</v>
      </c>
      <c r="D43" s="14">
        <v>0.39534410397882991</v>
      </c>
      <c r="E43" s="12">
        <v>0.68823544910512702</v>
      </c>
      <c r="F43" s="12">
        <v>0.49085131028174245</v>
      </c>
      <c r="G43" s="12">
        <v>0.91646263260507554</v>
      </c>
      <c r="H43" s="12">
        <v>0.43181942477008151</v>
      </c>
      <c r="I43" s="12">
        <v>0.85221385974927011</v>
      </c>
      <c r="J43" s="12">
        <v>0.51072288202216587</v>
      </c>
      <c r="K43" s="12">
        <v>0.41708062869760987</v>
      </c>
      <c r="L43" s="14">
        <v>0.51371782144187161</v>
      </c>
      <c r="M43" s="12">
        <v>0.63992951730289926</v>
      </c>
      <c r="N43" s="12">
        <v>0.5193948526772687</v>
      </c>
      <c r="O43" s="12">
        <v>0.60429686273978689</v>
      </c>
      <c r="P43" s="12">
        <v>0.88105417895914773</v>
      </c>
      <c r="Q43" s="12">
        <v>0.80285034912393449</v>
      </c>
    </row>
    <row r="44" spans="2:17" x14ac:dyDescent="0.3">
      <c r="B44" s="12">
        <v>0.42513131973371454</v>
      </c>
      <c r="C44" s="12">
        <v>0.1062987668159121</v>
      </c>
      <c r="D44" s="14">
        <v>7.6605870834475454E-2</v>
      </c>
      <c r="E44" s="12">
        <v>0.37827883917911387</v>
      </c>
      <c r="F44" s="12">
        <v>0.9590317290451198</v>
      </c>
      <c r="G44" s="12">
        <v>0.62100993488334844</v>
      </c>
      <c r="H44" s="12">
        <v>0.94353829153484536</v>
      </c>
      <c r="I44" s="12">
        <v>0.16367556395840066</v>
      </c>
      <c r="J44" s="12">
        <v>0.72441419998776091</v>
      </c>
      <c r="K44" s="12">
        <v>1.0819263087973319E-2</v>
      </c>
      <c r="L44" s="14">
        <v>0.27227361814044926</v>
      </c>
      <c r="M44" s="12">
        <v>0.64072778622725846</v>
      </c>
      <c r="N44" s="12">
        <v>0.14265267003868476</v>
      </c>
      <c r="O44" s="12">
        <v>0.13700382110882198</v>
      </c>
      <c r="P44" s="12">
        <v>0.99846506576967453</v>
      </c>
      <c r="Q44" s="12">
        <v>0.3475079261520122</v>
      </c>
    </row>
    <row r="45" spans="2:17" x14ac:dyDescent="0.3">
      <c r="B45" s="12">
        <v>0.90354176684773568</v>
      </c>
      <c r="C45" s="12">
        <v>0.80108452507206995</v>
      </c>
      <c r="D45" s="14">
        <v>0.97727316281588728</v>
      </c>
      <c r="E45" s="12">
        <v>0.56700024734720444</v>
      </c>
      <c r="F45" s="12">
        <v>0.40412950398821845</v>
      </c>
      <c r="G45" s="12">
        <v>6.6674048194497404E-2</v>
      </c>
      <c r="H45" s="12">
        <v>0.18856238218721622</v>
      </c>
      <c r="I45" s="12">
        <v>0.83128378694513771</v>
      </c>
      <c r="J45" s="12">
        <v>0.57325154458831218</v>
      </c>
      <c r="K45" s="12">
        <v>0.54260578718803032</v>
      </c>
      <c r="L45" s="14">
        <v>2.0087960562727325E-2</v>
      </c>
      <c r="M45" s="12">
        <v>9.5265612513352416E-2</v>
      </c>
      <c r="N45" s="12">
        <v>7.5412336467344243E-3</v>
      </c>
      <c r="O45" s="12">
        <v>0.12102577376617374</v>
      </c>
      <c r="P45" s="12">
        <v>0.35261277263589585</v>
      </c>
      <c r="Q45" s="12">
        <v>0.74757263258191164</v>
      </c>
    </row>
    <row r="46" spans="2:17" x14ac:dyDescent="0.3">
      <c r="B46" s="12">
        <v>0.10160917980270323</v>
      </c>
      <c r="C46" s="12">
        <v>0.16455719730316565</v>
      </c>
      <c r="D46" s="14">
        <v>0.74346857133279731</v>
      </c>
      <c r="E46" s="12">
        <v>0.69960712733206876</v>
      </c>
      <c r="F46" s="12">
        <v>0.78451386237283049</v>
      </c>
      <c r="G46" s="12">
        <v>0.21156254982640088</v>
      </c>
      <c r="H46" s="12">
        <v>0.51438758179233468</v>
      </c>
      <c r="I46" s="12">
        <v>3.5259460196298775E-2</v>
      </c>
      <c r="J46" s="12">
        <v>0.54162027406534685</v>
      </c>
      <c r="K46" s="12">
        <v>0.61562222384307597</v>
      </c>
      <c r="L46" s="14">
        <v>0.90125229148735375</v>
      </c>
      <c r="M46" s="12">
        <v>0.69701943047210269</v>
      </c>
      <c r="N46" s="12">
        <v>0.59928973913929795</v>
      </c>
      <c r="O46" s="12">
        <v>0.4047867458149641</v>
      </c>
      <c r="P46" s="12">
        <v>2.718543345275215E-2</v>
      </c>
      <c r="Q46" s="12">
        <v>0.96883025803977585</v>
      </c>
    </row>
    <row r="47" spans="2:17" x14ac:dyDescent="0.3">
      <c r="B47" s="12">
        <v>0.92197634526014927</v>
      </c>
      <c r="C47" s="12">
        <v>0.90333628906644781</v>
      </c>
      <c r="D47" s="14">
        <v>0.80410068380189159</v>
      </c>
      <c r="E47" s="12">
        <v>0.12465478190257873</v>
      </c>
      <c r="F47" s="12">
        <v>4.9648087999932144E-2</v>
      </c>
      <c r="G47" s="12">
        <v>0.41299103874288456</v>
      </c>
      <c r="H47" s="12">
        <v>0.18347537135624936</v>
      </c>
      <c r="I47" s="12">
        <v>0.50664680603494183</v>
      </c>
      <c r="J47" s="12">
        <v>0.21085439537892992</v>
      </c>
      <c r="K47" s="12">
        <v>0.68646604538153499</v>
      </c>
      <c r="L47" s="14">
        <v>0.9567602375727815</v>
      </c>
      <c r="M47" s="12">
        <v>0.59665002668924672</v>
      </c>
      <c r="N47" s="12">
        <v>8.3542308039012969E-3</v>
      </c>
      <c r="O47" s="12">
        <v>0.80968973613339923</v>
      </c>
      <c r="P47" s="12">
        <v>0.19682425055724306</v>
      </c>
      <c r="Q47" s="12">
        <v>0.69631717372100432</v>
      </c>
    </row>
    <row r="48" spans="2:17" x14ac:dyDescent="0.3">
      <c r="B48" s="12">
        <v>0.63636218470692474</v>
      </c>
      <c r="C48" s="12">
        <v>0.9506016086406639</v>
      </c>
      <c r="D48" s="14">
        <v>2.0056617383356845E-2</v>
      </c>
      <c r="E48" s="12">
        <v>0.41301299937375119</v>
      </c>
      <c r="F48" s="12">
        <v>0.29648824904353432</v>
      </c>
      <c r="G48" s="12">
        <v>0.7440191936195939</v>
      </c>
      <c r="H48" s="12">
        <v>0.14896574068019963</v>
      </c>
      <c r="I48" s="12">
        <v>0.30127772368092853</v>
      </c>
      <c r="J48" s="12">
        <v>0.25898928284503597</v>
      </c>
      <c r="K48" s="12">
        <v>0.52667333983163522</v>
      </c>
      <c r="L48" s="14">
        <v>0.80041954081336053</v>
      </c>
      <c r="M48" s="12">
        <v>7.8661335853952741E-2</v>
      </c>
      <c r="N48" s="12">
        <v>0.72057052226955465</v>
      </c>
      <c r="O48" s="12">
        <v>0.68183901706340877</v>
      </c>
      <c r="P48" s="12">
        <v>0.60277194733622874</v>
      </c>
      <c r="Q48" s="12">
        <v>0.5856659207184276</v>
      </c>
    </row>
    <row r="49" spans="2:17" x14ac:dyDescent="0.3">
      <c r="B49" s="12">
        <v>0.83082020299627857</v>
      </c>
      <c r="C49" s="12">
        <v>0.87507301613250221</v>
      </c>
      <c r="D49" s="14">
        <v>9.8062394014042376E-2</v>
      </c>
      <c r="E49" s="12">
        <v>0.33582875251083633</v>
      </c>
      <c r="F49" s="12">
        <v>0.28814599701154542</v>
      </c>
      <c r="G49" s="12">
        <v>0.14016553845738056</v>
      </c>
      <c r="H49" s="12">
        <v>0.21866333044280495</v>
      </c>
      <c r="I49" s="12">
        <v>0.78815359494171622</v>
      </c>
      <c r="J49" s="12">
        <v>0.33945978120878495</v>
      </c>
      <c r="K49" s="12">
        <v>0.75117424839451474</v>
      </c>
      <c r="L49" s="14">
        <v>0.89227094044815924</v>
      </c>
      <c r="M49" s="12">
        <v>0.68010255306551493</v>
      </c>
      <c r="N49" s="12">
        <v>0.68235134105202544</v>
      </c>
      <c r="O49" s="12">
        <v>0.76274295426943794</v>
      </c>
      <c r="P49" s="12">
        <v>0.16945397319838151</v>
      </c>
      <c r="Q49" s="12">
        <v>0.27303490148971132</v>
      </c>
    </row>
    <row r="50" spans="2:17" x14ac:dyDescent="0.3">
      <c r="B50" s="12">
        <v>0.31156176983457784</v>
      </c>
      <c r="C50" s="12">
        <v>0.89104954774141998</v>
      </c>
      <c r="D50" s="14">
        <v>0.19135135485029764</v>
      </c>
      <c r="E50" s="12">
        <v>8.0828175512736244E-2</v>
      </c>
      <c r="F50" s="12">
        <v>0.49695042124613131</v>
      </c>
      <c r="G50" s="12">
        <v>0.69700823372147536</v>
      </c>
      <c r="H50" s="12">
        <v>0.33051879241892479</v>
      </c>
      <c r="I50" s="12">
        <v>6.9874592456398377E-2</v>
      </c>
      <c r="J50" s="12">
        <v>3.4001190361864886E-2</v>
      </c>
      <c r="K50" s="12">
        <v>0.43648655010261006</v>
      </c>
      <c r="L50" s="14">
        <v>0.82084473089790788</v>
      </c>
      <c r="M50" s="12">
        <v>0.69088043167218416</v>
      </c>
      <c r="N50" s="12">
        <v>0.51332929239781167</v>
      </c>
      <c r="O50" s="12">
        <v>0.82674443245203744</v>
      </c>
      <c r="P50" s="12">
        <v>0.8706996079474898</v>
      </c>
      <c r="Q50" s="12">
        <v>8.4383735742211918E-2</v>
      </c>
    </row>
    <row r="51" spans="2:17" x14ac:dyDescent="0.3">
      <c r="B51" s="12">
        <v>0.56895417912775503</v>
      </c>
      <c r="C51" s="12">
        <v>0.43969426129205175</v>
      </c>
      <c r="D51" s="14">
        <v>0.42621666160920957</v>
      </c>
      <c r="E51" s="12">
        <v>0.93969568076142096</v>
      </c>
      <c r="F51" s="12">
        <v>0.36059675856083562</v>
      </c>
      <c r="G51" s="12">
        <v>0.83402250167852476</v>
      </c>
      <c r="H51" s="12">
        <v>0.73786905567355987</v>
      </c>
      <c r="I51" s="12">
        <v>0.38999303877988645</v>
      </c>
      <c r="J51" s="12">
        <v>0.93203509143820917</v>
      </c>
      <c r="K51" s="12">
        <v>0.59723852816691281</v>
      </c>
      <c r="L51" s="14">
        <v>0.56532971736070259</v>
      </c>
      <c r="M51" s="12">
        <v>0.46010242490508269</v>
      </c>
      <c r="N51" s="12">
        <v>0.48046718406346262</v>
      </c>
      <c r="O51" s="12">
        <v>0.96104474806027107</v>
      </c>
      <c r="P51" s="12">
        <v>0.81950232618522723</v>
      </c>
      <c r="Q51" s="12">
        <v>0.45995329960390707</v>
      </c>
    </row>
    <row r="52" spans="2:17" x14ac:dyDescent="0.3">
      <c r="B52" s="12">
        <v>0.79057785535748781</v>
      </c>
      <c r="C52" s="12">
        <v>0.39702805145382492</v>
      </c>
      <c r="D52" s="14">
        <v>0.2298711409709453</v>
      </c>
      <c r="E52" s="12">
        <v>0.76212741777861237</v>
      </c>
      <c r="F52" s="12">
        <v>0.47161106834110633</v>
      </c>
      <c r="G52" s="12">
        <v>0.7878751011390579</v>
      </c>
      <c r="H52" s="12">
        <v>0.87192833915219925</v>
      </c>
      <c r="I52" s="12">
        <v>0.87353888928571077</v>
      </c>
      <c r="J52" s="12">
        <v>2.1526522593903419E-2</v>
      </c>
      <c r="K52" s="12">
        <v>0.84124983571071299</v>
      </c>
      <c r="L52" s="14">
        <v>0.72950636406878133</v>
      </c>
      <c r="M52" s="12">
        <v>0.53634010163096435</v>
      </c>
      <c r="N52" s="12">
        <v>0.12109554516230769</v>
      </c>
      <c r="O52" s="12">
        <v>0.12988687733667592</v>
      </c>
      <c r="P52" s="12">
        <v>0.92260014779309563</v>
      </c>
      <c r="Q52" s="12">
        <v>2.4499830469785211E-2</v>
      </c>
    </row>
    <row r="53" spans="2:17" x14ac:dyDescent="0.3">
      <c r="B53" s="12">
        <v>0.90836618760861687</v>
      </c>
      <c r="C53" s="12">
        <v>9.0520293085027959E-2</v>
      </c>
      <c r="D53" s="14">
        <v>0.14782048092022482</v>
      </c>
      <c r="E53" s="12">
        <v>0.63340948015202336</v>
      </c>
      <c r="F53" s="12">
        <v>0.93251043922463506</v>
      </c>
      <c r="G53" s="12">
        <v>0.40727461799831244</v>
      </c>
      <c r="H53" s="12">
        <v>0.99581910318311451</v>
      </c>
      <c r="I53" s="12">
        <v>0.31877284258309313</v>
      </c>
      <c r="J53" s="12">
        <v>0.10301439893254738</v>
      </c>
      <c r="K53" s="12">
        <v>0.9679593795126229</v>
      </c>
      <c r="L53" s="14">
        <v>0.63441298145610414</v>
      </c>
      <c r="M53" s="12">
        <v>0.33648198639861349</v>
      </c>
      <c r="N53" s="12">
        <v>0.48379951156116352</v>
      </c>
      <c r="O53" s="12">
        <v>0.25635155029703749</v>
      </c>
      <c r="P53" s="12">
        <v>0.32578990212552855</v>
      </c>
      <c r="Q53" s="12">
        <v>9.6925708291970558E-2</v>
      </c>
    </row>
    <row r="54" spans="2:17" x14ac:dyDescent="0.3">
      <c r="B54" s="12">
        <v>0.60428462917422987</v>
      </c>
      <c r="C54" s="12">
        <v>0.83452361361750249</v>
      </c>
      <c r="D54" s="14">
        <v>0.2561810709481398</v>
      </c>
      <c r="E54" s="12">
        <v>0.48878823841936292</v>
      </c>
      <c r="F54" s="12">
        <v>0.91568918688116696</v>
      </c>
      <c r="G54" s="12">
        <v>0.4120159694994483</v>
      </c>
      <c r="H54" s="12">
        <v>0.84136378619697094</v>
      </c>
      <c r="I54" s="12">
        <v>0.77913645212166927</v>
      </c>
      <c r="J54" s="12">
        <v>0.90476500035915652</v>
      </c>
      <c r="K54" s="12">
        <v>0.25059928497278894</v>
      </c>
      <c r="L54" s="14">
        <v>0.16694448884840796</v>
      </c>
      <c r="M54" s="12">
        <v>0.97121666153922637</v>
      </c>
      <c r="N54" s="12">
        <v>0.15627928398986768</v>
      </c>
      <c r="O54" s="12">
        <v>0.43815668417986431</v>
      </c>
      <c r="P54" s="12">
        <v>0.25166046198209724</v>
      </c>
      <c r="Q54" s="12">
        <v>0.66752746245988348</v>
      </c>
    </row>
    <row r="55" spans="2:17" x14ac:dyDescent="0.3">
      <c r="B55" s="12">
        <v>0.70534100242732367</v>
      </c>
      <c r="C55" s="12">
        <v>0.67269183882236794</v>
      </c>
      <c r="D55" s="14">
        <v>0.59151467730111595</v>
      </c>
      <c r="E55" s="12">
        <v>0.36920429951079115</v>
      </c>
      <c r="F55" s="12">
        <v>0.29144548517398849</v>
      </c>
      <c r="G55" s="12">
        <v>0.67434436300052458</v>
      </c>
      <c r="H55" s="12">
        <v>0.9222810236953265</v>
      </c>
      <c r="I55" s="12">
        <v>0.58603852719652938</v>
      </c>
      <c r="J55" s="12">
        <v>0.80329014117873321</v>
      </c>
      <c r="K55" s="12">
        <v>0.49978172690811729</v>
      </c>
      <c r="L55" s="14">
        <v>0.41964023539486917</v>
      </c>
      <c r="M55" s="12">
        <v>0.80887215789858846</v>
      </c>
      <c r="N55" s="12">
        <v>0.1769374359125202</v>
      </c>
      <c r="O55" s="12">
        <v>0.5582501673285627</v>
      </c>
      <c r="P55" s="12">
        <v>0.64987539980975328</v>
      </c>
      <c r="Q55" s="12">
        <v>0.38921017273360103</v>
      </c>
    </row>
    <row r="56" spans="2:17" x14ac:dyDescent="0.3">
      <c r="B56" s="12">
        <v>0.91964106078446251</v>
      </c>
      <c r="C56" s="12">
        <v>0.65204710894542384</v>
      </c>
      <c r="D56" s="14">
        <v>0.55349372400240182</v>
      </c>
      <c r="E56" s="12">
        <v>0.34339804712700861</v>
      </c>
      <c r="F56" s="12">
        <v>1.5524475488581935E-2</v>
      </c>
      <c r="G56" s="12">
        <v>0.95313751140850178</v>
      </c>
      <c r="H56" s="12">
        <v>0.5364552963070166</v>
      </c>
      <c r="I56" s="12">
        <v>0.4360972619527741</v>
      </c>
      <c r="J56" s="12">
        <v>0.96126849709764817</v>
      </c>
      <c r="K56" s="12">
        <v>0.34884006681144442</v>
      </c>
      <c r="L56" s="14">
        <v>0.48354832364017586</v>
      </c>
      <c r="M56" s="12">
        <v>0.62429933239300794</v>
      </c>
      <c r="N56" s="12">
        <v>0.81391681622390721</v>
      </c>
      <c r="O56" s="12">
        <v>0.30782128650482488</v>
      </c>
      <c r="P56" s="12">
        <v>0.10272579216491917</v>
      </c>
      <c r="Q56" s="12">
        <v>0.86627089033762239</v>
      </c>
    </row>
    <row r="57" spans="2:17" x14ac:dyDescent="0.3">
      <c r="B57" s="12">
        <v>0.80487204685439817</v>
      </c>
      <c r="C57" s="12">
        <v>0.524966584340401</v>
      </c>
      <c r="D57" s="14">
        <v>0.82676218340872953</v>
      </c>
      <c r="E57" s="12">
        <v>0.71688575075232741</v>
      </c>
      <c r="F57" s="12">
        <v>0.77183620382082108</v>
      </c>
      <c r="G57" s="12">
        <v>0.45871423144199253</v>
      </c>
      <c r="H57" s="12">
        <v>0.30351561202349764</v>
      </c>
      <c r="I57" s="12">
        <v>1.0799351188801598E-3</v>
      </c>
      <c r="J57" s="12">
        <v>9.347639161772392E-2</v>
      </c>
      <c r="K57" s="12">
        <v>0.37812130872229432</v>
      </c>
      <c r="L57" s="14">
        <v>0.8993872327039325</v>
      </c>
      <c r="M57" s="12">
        <v>0.49700216274382236</v>
      </c>
      <c r="N57" s="12">
        <v>0.44068668492721219</v>
      </c>
      <c r="O57" s="12">
        <v>0.40355503525406</v>
      </c>
      <c r="P57" s="12">
        <v>0.86090649960193155</v>
      </c>
      <c r="Q57" s="12">
        <v>0.41062101407430251</v>
      </c>
    </row>
    <row r="58" spans="2:17" x14ac:dyDescent="0.3">
      <c r="B58" s="12">
        <v>0.53944982050811086</v>
      </c>
      <c r="C58" s="12">
        <v>0.37043251172956193</v>
      </c>
      <c r="D58" s="14">
        <v>0.44758948691747058</v>
      </c>
      <c r="E58" s="12">
        <v>0.37658831068176735</v>
      </c>
      <c r="F58" s="12">
        <v>0.42626234502583205</v>
      </c>
      <c r="G58" s="12">
        <v>0.98676741913624388</v>
      </c>
      <c r="H58" s="12">
        <v>0.18107538589640915</v>
      </c>
      <c r="I58" s="12">
        <v>0.29514322199183352</v>
      </c>
      <c r="J58" s="12">
        <v>0.15302422887541134</v>
      </c>
      <c r="K58" s="12">
        <v>0.36364618021436979</v>
      </c>
      <c r="L58" s="14">
        <v>0.19231190594943604</v>
      </c>
      <c r="M58" s="12">
        <v>0.43691667090527209</v>
      </c>
      <c r="N58" s="12">
        <v>0.58224914545318285</v>
      </c>
      <c r="O58" s="12">
        <v>0.81865258904874438</v>
      </c>
      <c r="P58" s="12">
        <v>5.2739990642291512E-3</v>
      </c>
      <c r="Q58" s="12">
        <v>0.16668157285945151</v>
      </c>
    </row>
    <row r="59" spans="2:17" x14ac:dyDescent="0.3">
      <c r="B59" s="12">
        <v>0.17550567404104811</v>
      </c>
      <c r="C59" s="12">
        <v>0.74200055072100302</v>
      </c>
      <c r="D59" s="14">
        <v>0.87728321951613286</v>
      </c>
      <c r="E59" s="12">
        <v>0.26725618779794047</v>
      </c>
      <c r="F59" s="12">
        <v>0.58399419974608779</v>
      </c>
      <c r="G59" s="12">
        <v>0.23130235960502477</v>
      </c>
      <c r="H59" s="12">
        <v>0.90987263720283473</v>
      </c>
      <c r="I59" s="12">
        <v>0.8879044676369543</v>
      </c>
      <c r="J59" s="12">
        <v>3.8702440184886777E-2</v>
      </c>
      <c r="K59" s="12">
        <v>0.98792138731021029</v>
      </c>
      <c r="L59" s="14">
        <v>8.8542528836641654E-2</v>
      </c>
      <c r="M59" s="12">
        <v>0.80868712429215861</v>
      </c>
      <c r="N59" s="12">
        <v>0.56644246989186398</v>
      </c>
      <c r="O59" s="12">
        <v>0.10357710765693651</v>
      </c>
      <c r="P59" s="12">
        <v>0.47253129035918029</v>
      </c>
      <c r="Q59" s="12">
        <v>0.39292113908095438</v>
      </c>
    </row>
    <row r="60" spans="2:17" x14ac:dyDescent="0.3">
      <c r="B60" s="12">
        <v>0.48323704925102806</v>
      </c>
      <c r="C60" s="12">
        <v>5.6480766397585924E-2</v>
      </c>
      <c r="D60" s="14">
        <v>0.89247279649978162</v>
      </c>
      <c r="E60" s="12">
        <v>0.22773796059545592</v>
      </c>
      <c r="F60" s="12">
        <v>0.6914680420582453</v>
      </c>
      <c r="G60" s="12">
        <v>0.57272264362253034</v>
      </c>
      <c r="H60" s="12">
        <v>0.58393936110887967</v>
      </c>
      <c r="I60" s="12">
        <v>0.39722331324067817</v>
      </c>
      <c r="J60" s="12">
        <v>0.23534409522611011</v>
      </c>
      <c r="K60" s="12">
        <v>0.15654452363570792</v>
      </c>
      <c r="L60" s="14">
        <v>0.54936153514079811</v>
      </c>
      <c r="M60" s="12">
        <v>4.4592657860634155E-2</v>
      </c>
      <c r="N60" s="12">
        <v>0.13446013670644485</v>
      </c>
      <c r="O60" s="12">
        <v>0.39929337446892843</v>
      </c>
      <c r="P60" s="12">
        <v>0.96119005981340178</v>
      </c>
      <c r="Q60" s="12">
        <v>0.10679682378870048</v>
      </c>
    </row>
    <row r="61" spans="2:17" x14ac:dyDescent="0.3">
      <c r="B61" s="12">
        <v>0.90992585906292978</v>
      </c>
      <c r="C61" s="12">
        <v>0.89002364960458991</v>
      </c>
      <c r="D61" s="14">
        <v>0.1898391130908168</v>
      </c>
      <c r="E61" s="12">
        <v>0.62079935658373775</v>
      </c>
      <c r="F61" s="12">
        <v>0.66962724236758575</v>
      </c>
      <c r="G61" s="12">
        <v>0.15044708285366415</v>
      </c>
      <c r="H61" s="12">
        <v>0.97601156325598915</v>
      </c>
      <c r="I61" s="12">
        <v>0.21619594173361212</v>
      </c>
      <c r="J61" s="12">
        <v>0.90444893424339767</v>
      </c>
      <c r="K61" s="12">
        <v>0.38204125246394316</v>
      </c>
      <c r="L61" s="14">
        <v>0.44272298058762805</v>
      </c>
      <c r="M61" s="12">
        <v>0.87182707202762355</v>
      </c>
      <c r="N61" s="12">
        <v>0.12421947664748956</v>
      </c>
      <c r="O61" s="12">
        <v>0.79461841013201329</v>
      </c>
      <c r="P61" s="12">
        <v>0.65167972547138442</v>
      </c>
      <c r="Q61" s="12">
        <v>0.11023972552285022</v>
      </c>
    </row>
    <row r="62" spans="2:17" x14ac:dyDescent="0.3">
      <c r="B62" s="12">
        <v>0.77681306083468638</v>
      </c>
      <c r="C62" s="12">
        <v>0.30953720424183473</v>
      </c>
      <c r="D62" s="14">
        <v>0.56589391802282396</v>
      </c>
      <c r="E62" s="12">
        <v>0.78956797111834764</v>
      </c>
      <c r="F62" s="12">
        <v>0.62325196224610124</v>
      </c>
      <c r="G62" s="12">
        <v>0.20972690422871754</v>
      </c>
      <c r="H62" s="12">
        <v>0.59145385665556494</v>
      </c>
      <c r="I62" s="12">
        <v>0.68771613208810578</v>
      </c>
      <c r="J62" s="12">
        <v>0.1610040217625448</v>
      </c>
      <c r="K62" s="12">
        <v>0.63352117700324406</v>
      </c>
      <c r="L62" s="14">
        <v>0.19073462770052796</v>
      </c>
      <c r="M62" s="12">
        <v>0.177642238425197</v>
      </c>
      <c r="N62" s="12">
        <v>0.15017068572643866</v>
      </c>
      <c r="O62" s="12">
        <v>0.76777659477124427</v>
      </c>
      <c r="P62" s="12">
        <v>0.4701038164162199</v>
      </c>
      <c r="Q62" s="12">
        <v>0.41043258512035252</v>
      </c>
    </row>
    <row r="63" spans="2:17" x14ac:dyDescent="0.3">
      <c r="B63" s="12">
        <v>0.56457722959923728</v>
      </c>
      <c r="C63" s="12">
        <v>0.96390023467171293</v>
      </c>
      <c r="D63" s="14">
        <v>0.23073185252258388</v>
      </c>
      <c r="E63" s="12">
        <v>0.40143820145890174</v>
      </c>
      <c r="F63" s="12">
        <v>0.29709404322210364</v>
      </c>
      <c r="G63" s="12">
        <v>0.61028850585149352</v>
      </c>
      <c r="H63" s="12">
        <v>0.9495355845784732</v>
      </c>
      <c r="I63" s="12">
        <v>0.72378971330385977</v>
      </c>
      <c r="J63" s="12">
        <v>0.67873739659393628</v>
      </c>
      <c r="K63" s="12">
        <v>0.48408636556980777</v>
      </c>
      <c r="L63" s="14">
        <v>0.62750904406594188</v>
      </c>
      <c r="M63" s="12">
        <v>0.51502309494239262</v>
      </c>
      <c r="N63" s="12">
        <v>0.80602334928805996</v>
      </c>
      <c r="O63" s="12">
        <v>0.90582968225555427</v>
      </c>
      <c r="P63" s="12">
        <v>0.43395793496699486</v>
      </c>
      <c r="Q63" s="12">
        <v>0.51822319818300788</v>
      </c>
    </row>
    <row r="64" spans="2:17" x14ac:dyDescent="0.3">
      <c r="B64" s="12">
        <v>0.60749558013125449</v>
      </c>
      <c r="C64" s="12">
        <v>5.4513929065210576E-2</v>
      </c>
      <c r="D64" s="14">
        <v>0.7744971262083693</v>
      </c>
      <c r="E64" s="12">
        <v>0.46631234296366841</v>
      </c>
      <c r="F64" s="12">
        <v>0.73332967887694966</v>
      </c>
      <c r="G64" s="12">
        <v>0.95482857079802419</v>
      </c>
      <c r="H64" s="12">
        <v>0.94113702683932132</v>
      </c>
      <c r="I64" s="12">
        <v>0.51645770229928889</v>
      </c>
      <c r="J64" s="12">
        <v>0.10074730088146744</v>
      </c>
      <c r="K64" s="12">
        <v>7.3786869551692114E-2</v>
      </c>
      <c r="L64" s="14">
        <v>0.76875567658058941</v>
      </c>
      <c r="M64" s="12">
        <v>0.9392225629661759</v>
      </c>
      <c r="N64" s="12">
        <v>0.97075193033635743</v>
      </c>
      <c r="O64" s="12">
        <v>0.39977327908732985</v>
      </c>
      <c r="P64" s="12">
        <v>0.63646398942360349</v>
      </c>
      <c r="Q64" s="12">
        <v>0.82312912971346308</v>
      </c>
    </row>
    <row r="65" spans="2:17" x14ac:dyDescent="0.3">
      <c r="B65" s="12">
        <v>0.26539713607659454</v>
      </c>
      <c r="C65" s="12">
        <v>0.23439488606244474</v>
      </c>
      <c r="D65" s="14">
        <v>0.47239690365488851</v>
      </c>
      <c r="E65" s="12">
        <v>0.92961323394228046</v>
      </c>
      <c r="F65" s="12">
        <v>0.21514790798285777</v>
      </c>
      <c r="G65" s="12">
        <v>0.35110878448635141</v>
      </c>
      <c r="H65" s="12">
        <v>0.88372544311846735</v>
      </c>
      <c r="I65" s="12">
        <v>0.34997404994879527</v>
      </c>
      <c r="J65" s="12">
        <v>0.24898177650032438</v>
      </c>
      <c r="K65" s="12">
        <v>0.58288697765142938</v>
      </c>
      <c r="L65" s="14">
        <v>0.55887614725060075</v>
      </c>
      <c r="M65" s="12">
        <v>0.2105391051952159</v>
      </c>
      <c r="N65" s="12">
        <v>9.2357725840605864E-2</v>
      </c>
      <c r="O65" s="12">
        <v>0.86324027062833353</v>
      </c>
      <c r="P65" s="12">
        <v>0.54670785685613321</v>
      </c>
      <c r="Q65" s="12">
        <v>0.66573116895879747</v>
      </c>
    </row>
    <row r="66" spans="2:17" x14ac:dyDescent="0.3">
      <c r="B66" s="12">
        <v>0.68996803015970198</v>
      </c>
      <c r="C66" s="12">
        <v>0.16569834772505665</v>
      </c>
      <c r="D66" s="14">
        <v>0.1110906306940036</v>
      </c>
      <c r="E66" s="12">
        <v>0.54553428121463554</v>
      </c>
      <c r="F66" s="12">
        <v>0.54079561971937173</v>
      </c>
      <c r="G66" s="12">
        <v>0.68665303771504904</v>
      </c>
      <c r="H66" s="12">
        <v>0.96003057662621571</v>
      </c>
      <c r="I66" s="12">
        <v>0.40585768900850017</v>
      </c>
      <c r="J66" s="12">
        <v>0.80666473609348621</v>
      </c>
      <c r="K66" s="12">
        <v>0.48144926740993932</v>
      </c>
      <c r="L66" s="14">
        <v>0.43294412244776215</v>
      </c>
      <c r="M66" s="12">
        <v>0.41381025436024466</v>
      </c>
      <c r="N66" s="12">
        <v>0.9934578988207603</v>
      </c>
      <c r="O66" s="12">
        <v>0.45652717950768107</v>
      </c>
      <c r="P66" s="12">
        <v>0.77112918251210605</v>
      </c>
      <c r="Q66" s="12">
        <v>0.78517823133563347</v>
      </c>
    </row>
    <row r="67" spans="2:17" x14ac:dyDescent="0.3">
      <c r="B67" s="12">
        <v>0.39483595281728107</v>
      </c>
      <c r="C67" s="12">
        <v>0.36040801198423478</v>
      </c>
      <c r="D67" s="14">
        <v>0.8758717113659511</v>
      </c>
      <c r="E67" s="12">
        <v>0.53815199963116478</v>
      </c>
      <c r="F67" s="12">
        <v>0.22433622525352082</v>
      </c>
      <c r="G67" s="12">
        <v>0.53666496925721852</v>
      </c>
      <c r="H67" s="12">
        <v>0.71837598345494325</v>
      </c>
      <c r="I67" s="12">
        <v>0.34310873540705633</v>
      </c>
      <c r="J67" s="12">
        <v>0.67707839978161743</v>
      </c>
      <c r="K67" s="12">
        <v>0.3220101695082318</v>
      </c>
      <c r="L67" s="14">
        <v>0.47708701697258116</v>
      </c>
      <c r="M67" s="12">
        <v>4.7060809947854887E-2</v>
      </c>
      <c r="N67" s="12">
        <v>0.92506853102191133</v>
      </c>
      <c r="O67" s="12">
        <v>9.3715838288881415E-2</v>
      </c>
      <c r="P67" s="12">
        <v>0.31336207039412312</v>
      </c>
      <c r="Q67" s="12">
        <v>0.69256118695208135</v>
      </c>
    </row>
    <row r="68" spans="2:17" x14ac:dyDescent="0.3">
      <c r="B68" s="12">
        <v>0.77711016284973056</v>
      </c>
      <c r="C68" s="12">
        <v>0.9161530532643154</v>
      </c>
      <c r="D68" s="14">
        <v>0.64951233675593212</v>
      </c>
      <c r="E68" s="12">
        <v>0.95864658033407224</v>
      </c>
      <c r="F68" s="12">
        <v>0.38464413073013493</v>
      </c>
      <c r="G68" s="12">
        <v>0.87217958944620899</v>
      </c>
      <c r="H68" s="12">
        <v>1.0517989650850434E-2</v>
      </c>
      <c r="I68" s="12">
        <v>0.74393756169406222</v>
      </c>
      <c r="J68" s="12">
        <v>0.35884022998895237</v>
      </c>
      <c r="K68" s="12">
        <v>0.903279168676697</v>
      </c>
      <c r="L68" s="14">
        <v>2.8170070763885668E-2</v>
      </c>
      <c r="M68" s="12">
        <v>0.57268990281254806</v>
      </c>
      <c r="N68" s="12">
        <v>0.55747931067877587</v>
      </c>
      <c r="O68" s="12">
        <v>0.11858428603985494</v>
      </c>
      <c r="P68" s="12">
        <v>0.69071523598110085</v>
      </c>
      <c r="Q68" s="12">
        <v>0.14147203183124324</v>
      </c>
    </row>
    <row r="69" spans="2:17" x14ac:dyDescent="0.3">
      <c r="B69" s="12">
        <v>0.24783286402579652</v>
      </c>
      <c r="C69" s="12">
        <v>0.26421926497419562</v>
      </c>
      <c r="D69" s="14">
        <v>0.14527396958416294</v>
      </c>
      <c r="E69" s="12">
        <v>0.97330524776462113</v>
      </c>
      <c r="F69" s="12">
        <v>0.31245800728000805</v>
      </c>
      <c r="G69" s="12">
        <v>0.33223059246972819</v>
      </c>
      <c r="H69" s="12">
        <v>0.32911049463411812</v>
      </c>
      <c r="I69" s="12">
        <v>0.84083732512625708</v>
      </c>
      <c r="J69" s="12">
        <v>0.26072925498515942</v>
      </c>
      <c r="K69" s="12">
        <v>0.609383004096679</v>
      </c>
      <c r="L69" s="14">
        <v>0.52878532054015004</v>
      </c>
      <c r="M69" s="12">
        <v>0.93630878556625463</v>
      </c>
      <c r="N69" s="12">
        <v>0.15831668192759762</v>
      </c>
      <c r="O69" s="12">
        <v>0.77981307126862243</v>
      </c>
      <c r="P69" s="12">
        <v>0.95636140147941817</v>
      </c>
      <c r="Q69" s="12">
        <v>0.41387131813937028</v>
      </c>
    </row>
    <row r="70" spans="2:17" x14ac:dyDescent="0.3">
      <c r="B70" s="12">
        <v>0.34717823758036781</v>
      </c>
      <c r="C70" s="12">
        <v>0.49632672769553943</v>
      </c>
      <c r="D70" s="14">
        <v>0.45133011993754568</v>
      </c>
      <c r="E70" s="12">
        <v>0.92909825895051346</v>
      </c>
      <c r="F70" s="12">
        <v>0.45233943127588105</v>
      </c>
      <c r="G70" s="12">
        <v>0.70046193771602439</v>
      </c>
      <c r="H70" s="12">
        <v>0.9129481570338982</v>
      </c>
      <c r="I70" s="12">
        <v>0.49245206855892243</v>
      </c>
      <c r="J70" s="12">
        <v>0.70001593063083067</v>
      </c>
      <c r="K70" s="12">
        <v>1.3395853323401763E-2</v>
      </c>
      <c r="L70" s="14">
        <v>0.801453926914655</v>
      </c>
      <c r="M70" s="12">
        <v>0.65186383655571345</v>
      </c>
      <c r="N70" s="12">
        <v>0.75123462276471109</v>
      </c>
      <c r="O70" s="12">
        <v>0.20551412905383315</v>
      </c>
      <c r="P70" s="12">
        <v>0.24731842076793287</v>
      </c>
      <c r="Q70" s="12">
        <v>0.78680318150113338</v>
      </c>
    </row>
    <row r="71" spans="2:17" x14ac:dyDescent="0.3">
      <c r="B71" s="12">
        <v>0.75972557116561745</v>
      </c>
      <c r="C71" s="12">
        <v>0.76374667042511946</v>
      </c>
      <c r="D71" s="14">
        <v>0.74884022164028519</v>
      </c>
      <c r="E71" s="12">
        <v>0.95436492730058697</v>
      </c>
      <c r="F71" s="12">
        <v>0.42815265079565412</v>
      </c>
      <c r="G71" s="12">
        <v>0.67939687246121427</v>
      </c>
      <c r="H71" s="12">
        <v>0.96007246254696099</v>
      </c>
      <c r="I71" s="12">
        <v>0.57392567654352256</v>
      </c>
      <c r="J71" s="12">
        <v>0.71290484032480506</v>
      </c>
      <c r="K71" s="12">
        <v>0.53310070483156169</v>
      </c>
      <c r="L71" s="14">
        <v>0.35612842609201634</v>
      </c>
      <c r="M71" s="12">
        <v>0.45425817177928618</v>
      </c>
      <c r="N71" s="12">
        <v>0.12272641700979503</v>
      </c>
      <c r="O71" s="12">
        <v>0.27601361765581878</v>
      </c>
      <c r="P71" s="12">
        <v>0.89140471885520522</v>
      </c>
      <c r="Q71" s="12">
        <v>0.3707477617670718</v>
      </c>
    </row>
    <row r="72" spans="2:17" x14ac:dyDescent="0.3">
      <c r="B72" s="12">
        <v>6.1818098324109005E-3</v>
      </c>
      <c r="C72" s="12">
        <v>2.1782678910233777E-2</v>
      </c>
      <c r="D72" s="14">
        <v>0.35128343956072072</v>
      </c>
      <c r="E72" s="12">
        <v>0.24177124391900606</v>
      </c>
      <c r="F72" s="12">
        <v>0.69737610246988435</v>
      </c>
      <c r="G72" s="12">
        <v>0.76705063203633483</v>
      </c>
      <c r="H72" s="12">
        <v>0.58052146316051711</v>
      </c>
      <c r="I72" s="12">
        <v>0.59581837195579834</v>
      </c>
      <c r="J72" s="12">
        <v>0.15313344022850295</v>
      </c>
      <c r="K72" s="12">
        <v>0.9413704023530256</v>
      </c>
      <c r="L72" s="14">
        <v>0.34645755134343181</v>
      </c>
      <c r="M72" s="12">
        <v>0.23104146481902221</v>
      </c>
      <c r="N72" s="12">
        <v>0.51352710616119479</v>
      </c>
      <c r="O72" s="12">
        <v>0.17111300652754591</v>
      </c>
      <c r="P72" s="12">
        <v>0.55251088356452449</v>
      </c>
      <c r="Q72" s="12">
        <v>0.24544283443706671</v>
      </c>
    </row>
    <row r="73" spans="2:17" x14ac:dyDescent="0.3">
      <c r="B73" s="12">
        <v>0.58127193810462341</v>
      </c>
      <c r="C73" s="12">
        <v>0.80010302883798334</v>
      </c>
      <c r="D73" s="14">
        <v>0.9975536559124889</v>
      </c>
      <c r="E73" s="12">
        <v>0.66338793658638817</v>
      </c>
      <c r="F73" s="12">
        <v>0.86333246860297308</v>
      </c>
      <c r="G73" s="12">
        <v>0.35032959110313033</v>
      </c>
      <c r="H73" s="12">
        <v>0.68834686002198175</v>
      </c>
      <c r="I73" s="12">
        <v>0.43547698802298318</v>
      </c>
      <c r="J73" s="12">
        <v>0.85540846429072914</v>
      </c>
      <c r="K73" s="12">
        <v>0.35005217442833669</v>
      </c>
      <c r="L73" s="14">
        <v>0.90139697970443233</v>
      </c>
      <c r="M73" s="12">
        <v>0.82796362395918277</v>
      </c>
      <c r="N73" s="12">
        <v>0.40258864348175827</v>
      </c>
      <c r="O73" s="12">
        <v>0.82213080807864269</v>
      </c>
      <c r="P73" s="12">
        <v>0.7187073835614346</v>
      </c>
      <c r="Q73" s="12">
        <v>0.25076610662228127</v>
      </c>
    </row>
    <row r="74" spans="2:17" x14ac:dyDescent="0.3">
      <c r="B74" s="12">
        <v>0.16151423003226295</v>
      </c>
      <c r="C74" s="12">
        <v>0.55144289241783184</v>
      </c>
      <c r="D74" s="14">
        <v>0.79723712631892441</v>
      </c>
      <c r="E74" s="12">
        <v>0.82474626866088752</v>
      </c>
      <c r="F74" s="12">
        <v>0.61116561983957851</v>
      </c>
      <c r="G74" s="12">
        <v>0.85608215965178847</v>
      </c>
      <c r="H74" s="12">
        <v>0.32509275853627839</v>
      </c>
      <c r="I74" s="12">
        <v>0.62870117371322465</v>
      </c>
      <c r="J74" s="12">
        <v>0.14062267231884196</v>
      </c>
      <c r="K74" s="12">
        <v>0.17433642431541863</v>
      </c>
      <c r="L74" s="14">
        <v>0.96842129671411126</v>
      </c>
      <c r="M74" s="12">
        <v>9.2545930657474962E-2</v>
      </c>
      <c r="N74" s="12">
        <v>0.76373863991057789</v>
      </c>
      <c r="O74" s="12">
        <v>0.19681708600363934</v>
      </c>
      <c r="P74" s="12">
        <v>0.37045808738713415</v>
      </c>
      <c r="Q74" s="12">
        <v>0.35349827594771099</v>
      </c>
    </row>
    <row r="75" spans="2:17" x14ac:dyDescent="0.3">
      <c r="B75" s="12">
        <v>0.97232001500791054</v>
      </c>
      <c r="C75" s="12">
        <v>0.75253373818882174</v>
      </c>
      <c r="D75" s="14">
        <v>2.4568438271542981E-2</v>
      </c>
      <c r="E75" s="12">
        <v>0.32700028495185873</v>
      </c>
      <c r="F75" s="12">
        <v>0.39411305469927227</v>
      </c>
      <c r="G75" s="12">
        <v>0.40609135724219686</v>
      </c>
      <c r="H75" s="12">
        <v>0.91276247857990089</v>
      </c>
      <c r="I75" s="12">
        <v>0.27222661030951301</v>
      </c>
      <c r="J75" s="12">
        <v>0.65256345429024254</v>
      </c>
      <c r="K75" s="12">
        <v>0.18424565862969611</v>
      </c>
      <c r="L75" s="14">
        <v>0.76753918366364315</v>
      </c>
      <c r="M75" s="12">
        <v>0.96128118208494318</v>
      </c>
      <c r="N75" s="12">
        <v>0.61758606807144822</v>
      </c>
      <c r="O75" s="12">
        <v>0.52096641392985332</v>
      </c>
      <c r="P75" s="12">
        <v>0.49017378000729339</v>
      </c>
      <c r="Q75" s="12">
        <v>0.70848785111063917</v>
      </c>
    </row>
    <row r="76" spans="2:17" x14ac:dyDescent="0.3">
      <c r="B76" s="12">
        <v>0.96035602399163444</v>
      </c>
      <c r="C76" s="12">
        <v>0.7778241725088757</v>
      </c>
      <c r="D76" s="14">
        <v>0.36012405501097522</v>
      </c>
      <c r="E76" s="12">
        <v>0.53149087052013932</v>
      </c>
      <c r="F76" s="12">
        <v>0.83612744600493749</v>
      </c>
      <c r="G76" s="12">
        <v>0.93731603438104205</v>
      </c>
      <c r="H76" s="12">
        <v>0.67293847079318958</v>
      </c>
      <c r="I76" s="12">
        <v>7.2880086129166077E-2</v>
      </c>
      <c r="J76" s="12">
        <v>0.1392832435410809</v>
      </c>
      <c r="K76" s="12">
        <v>0.26460537326289146</v>
      </c>
      <c r="L76" s="14">
        <v>0.86255491989238209</v>
      </c>
      <c r="M76" s="12">
        <v>0.18684818763266131</v>
      </c>
      <c r="N76" s="12">
        <v>0.45339411163026133</v>
      </c>
      <c r="O76" s="12">
        <v>0.15967198546333639</v>
      </c>
      <c r="P76" s="12">
        <v>0.21001218671517563</v>
      </c>
      <c r="Q76" s="12">
        <v>0.76059337758370393</v>
      </c>
    </row>
    <row r="77" spans="2:17" x14ac:dyDescent="0.3">
      <c r="B77" s="12">
        <v>0.76025458936389523</v>
      </c>
      <c r="C77" s="12">
        <v>0.68767791570003456</v>
      </c>
      <c r="D77" s="14">
        <v>0.72161956913810144</v>
      </c>
      <c r="E77" s="12">
        <v>0.2734799076691305</v>
      </c>
      <c r="F77" s="12">
        <v>0.35796165299380545</v>
      </c>
      <c r="G77" s="12">
        <v>9.9504717568864365E-2</v>
      </c>
      <c r="H77" s="12">
        <v>0.63531330476572401</v>
      </c>
      <c r="I77" s="12">
        <v>0.77454762611960448</v>
      </c>
      <c r="J77" s="12">
        <v>0.19910296286198531</v>
      </c>
      <c r="K77" s="12">
        <v>0.83892925797180462</v>
      </c>
      <c r="L77" s="14">
        <v>0.61946843945150598</v>
      </c>
      <c r="M77" s="12">
        <v>0.22413053701935404</v>
      </c>
      <c r="N77" s="12">
        <v>0.80974669301454494</v>
      </c>
      <c r="O77" s="12">
        <v>0.38825876318696473</v>
      </c>
      <c r="P77" s="12">
        <v>0.37763026729669469</v>
      </c>
      <c r="Q77" s="12">
        <v>0.70432894334395901</v>
      </c>
    </row>
    <row r="78" spans="2:17" x14ac:dyDescent="0.3">
      <c r="B78" s="12">
        <v>0.73398825370976173</v>
      </c>
      <c r="C78" s="12">
        <v>0.44242351800538238</v>
      </c>
      <c r="D78" s="14">
        <v>0.61753052208805226</v>
      </c>
      <c r="E78" s="12">
        <v>0.87248241339041854</v>
      </c>
      <c r="F78" s="12">
        <v>0.94573880114193154</v>
      </c>
      <c r="G78" s="12">
        <v>0.49054600544161103</v>
      </c>
      <c r="H78" s="12">
        <v>0.44990951668467716</v>
      </c>
      <c r="I78" s="12">
        <v>0.62249148146628119</v>
      </c>
      <c r="J78" s="12">
        <v>0.61033676190679564</v>
      </c>
      <c r="K78" s="12">
        <v>0.40324258057368234</v>
      </c>
      <c r="L78" s="14">
        <v>0.53598729249269983</v>
      </c>
      <c r="M78" s="12">
        <v>2.7323212215083714E-2</v>
      </c>
      <c r="N78" s="12">
        <v>0.86966989987856369</v>
      </c>
      <c r="O78" s="12">
        <v>0.83467560382459927</v>
      </c>
      <c r="P78" s="12">
        <v>0.98593200508921441</v>
      </c>
      <c r="Q78" s="12">
        <v>0.37064444980899669</v>
      </c>
    </row>
    <row r="79" spans="2:17" x14ac:dyDescent="0.3">
      <c r="B79" s="12">
        <v>0.3515439135006686</v>
      </c>
      <c r="C79" s="12">
        <v>0.40767282412087891</v>
      </c>
      <c r="D79" s="14">
        <v>0.3491334054689581</v>
      </c>
      <c r="E79" s="12">
        <v>0.14447447869409036</v>
      </c>
      <c r="F79" s="12">
        <v>0.54428059903569848</v>
      </c>
      <c r="G79" s="12">
        <v>0.76000218275789377</v>
      </c>
      <c r="H79" s="12">
        <v>0.1629255893490999</v>
      </c>
      <c r="I79" s="12">
        <v>8.4088906954375986E-2</v>
      </c>
      <c r="J79" s="12">
        <v>0.52221745971409117</v>
      </c>
      <c r="K79" s="12">
        <v>0.5478662259965017</v>
      </c>
      <c r="L79" s="14">
        <v>0.44800880203204052</v>
      </c>
      <c r="M79" s="12">
        <v>0.56789194934585585</v>
      </c>
      <c r="N79" s="12">
        <v>0.82680079256495631</v>
      </c>
      <c r="O79" s="12">
        <v>3.6518917212835511E-2</v>
      </c>
      <c r="P79" s="12">
        <v>0.60988887844337758</v>
      </c>
      <c r="Q79" s="12">
        <v>0.73555836840194289</v>
      </c>
    </row>
    <row r="80" spans="2:17" x14ac:dyDescent="0.3">
      <c r="B80" s="12">
        <v>0.22877966963249818</v>
      </c>
      <c r="C80" s="12">
        <v>0.59317973493858234</v>
      </c>
      <c r="D80" s="14">
        <v>0.47745044663595859</v>
      </c>
      <c r="E80" s="12">
        <v>0.36157425970048718</v>
      </c>
      <c r="F80" s="12">
        <v>0.87493260201442702</v>
      </c>
      <c r="G80" s="12">
        <v>0.1990125178552189</v>
      </c>
      <c r="H80" s="12">
        <v>0.28636922898521533</v>
      </c>
      <c r="I80" s="12">
        <v>0.42527356391040794</v>
      </c>
      <c r="J80" s="12">
        <v>0.74997203872556994</v>
      </c>
      <c r="K80" s="12">
        <v>0.6490190624524077</v>
      </c>
      <c r="L80" s="14">
        <v>0.5377071892967269</v>
      </c>
      <c r="M80" s="12">
        <v>0.77650742248809923</v>
      </c>
      <c r="N80" s="12">
        <v>0.9854992215059013</v>
      </c>
      <c r="O80" s="12">
        <v>0.30624855144122121</v>
      </c>
      <c r="P80" s="12">
        <v>0.36492949044087308</v>
      </c>
      <c r="Q80" s="12">
        <v>0.40826524400016773</v>
      </c>
    </row>
    <row r="81" spans="2:17" x14ac:dyDescent="0.3">
      <c r="B81" s="12">
        <v>0.92171203915067057</v>
      </c>
      <c r="C81" s="12">
        <v>0.94155888029333168</v>
      </c>
      <c r="D81" s="14">
        <v>0.33647770022798307</v>
      </c>
      <c r="E81" s="12">
        <v>4.3583725347628555E-2</v>
      </c>
      <c r="F81" s="12">
        <v>0.56957810820250332</v>
      </c>
      <c r="G81" s="12">
        <v>0.63425249487971258</v>
      </c>
      <c r="H81" s="12">
        <v>0.33016399568232924</v>
      </c>
      <c r="I81" s="12">
        <v>0.58051234424084242</v>
      </c>
      <c r="J81" s="12">
        <v>0.79173826888752541</v>
      </c>
      <c r="K81" s="12">
        <v>7.9429037043498241E-2</v>
      </c>
      <c r="L81" s="14">
        <v>0.96961864600740011</v>
      </c>
      <c r="M81" s="12">
        <v>0.44479082912283396</v>
      </c>
      <c r="N81" s="12">
        <v>0.56440600768945348</v>
      </c>
      <c r="O81" s="12">
        <v>0.95808355038484128</v>
      </c>
      <c r="P81" s="12">
        <v>0.39452847812448033</v>
      </c>
      <c r="Q81" s="12">
        <v>0.38266488523095016</v>
      </c>
    </row>
    <row r="82" spans="2:17" x14ac:dyDescent="0.3">
      <c r="B82" s="12">
        <v>0.94128254731407424</v>
      </c>
      <c r="C82" s="12">
        <v>0.48087950493926801</v>
      </c>
      <c r="D82" s="14">
        <v>0.25480104374164192</v>
      </c>
      <c r="E82" s="12">
        <v>0.36801297220003359</v>
      </c>
      <c r="F82" s="12">
        <v>1.2749064622368023E-2</v>
      </c>
      <c r="G82" s="12">
        <v>0.9751649470934487</v>
      </c>
      <c r="H82" s="12">
        <v>0.63394746664630031</v>
      </c>
      <c r="I82" s="12">
        <v>0.58760950468064976</v>
      </c>
      <c r="J82" s="12">
        <v>0.35600768145553108</v>
      </c>
      <c r="K82" s="12">
        <v>0.27504392180796167</v>
      </c>
      <c r="L82" s="14">
        <v>0.29055505728417241</v>
      </c>
      <c r="M82" s="12">
        <v>0.93351951910583519</v>
      </c>
      <c r="N82" s="12">
        <v>0.93097841642983892</v>
      </c>
      <c r="O82" s="12">
        <v>0.37152447690292512</v>
      </c>
      <c r="P82" s="12">
        <v>0.93854431459639565</v>
      </c>
      <c r="Q82" s="12">
        <v>0.3214879908200432</v>
      </c>
    </row>
    <row r="83" spans="2:17" x14ac:dyDescent="0.3">
      <c r="B83" s="12">
        <v>0.40184215322825168</v>
      </c>
      <c r="C83" s="12">
        <v>0.94747267428237181</v>
      </c>
      <c r="D83" s="14">
        <v>4.1501122717013672E-3</v>
      </c>
      <c r="E83" s="12">
        <v>0.12071096681452187</v>
      </c>
      <c r="F83" s="12">
        <v>0.40981930245749076</v>
      </c>
      <c r="G83" s="12">
        <v>2.8426998151224403E-2</v>
      </c>
      <c r="H83" s="12">
        <v>0.22928956389344402</v>
      </c>
      <c r="I83" s="12">
        <v>0.39032834449727827</v>
      </c>
      <c r="J83" s="12">
        <v>0.16354044185914596</v>
      </c>
      <c r="K83" s="12">
        <v>0.3818051757955454</v>
      </c>
      <c r="L83" s="14">
        <v>0.44172028959094423</v>
      </c>
      <c r="M83" s="12">
        <v>0.44623903534162634</v>
      </c>
      <c r="N83" s="12">
        <v>0.90984437609330304</v>
      </c>
      <c r="O83" s="12">
        <v>0.62578193952699834</v>
      </c>
      <c r="P83" s="12">
        <v>0.56300852454560357</v>
      </c>
      <c r="Q83" s="12">
        <v>0.29217866206981835</v>
      </c>
    </row>
    <row r="84" spans="2:17" x14ac:dyDescent="0.3">
      <c r="B84" s="12">
        <v>0.32707086147980058</v>
      </c>
      <c r="C84" s="12">
        <v>0.83376133221773774</v>
      </c>
      <c r="D84" s="14">
        <v>0.75874025317414784</v>
      </c>
      <c r="E84" s="12">
        <v>6.0232475398223295E-2</v>
      </c>
      <c r="F84" s="12">
        <v>0.56605713359007925</v>
      </c>
      <c r="G84" s="12">
        <v>0.69950234152799728</v>
      </c>
      <c r="H84" s="12">
        <v>0.86311717668631194</v>
      </c>
      <c r="I84" s="12">
        <v>0.25334520354795553</v>
      </c>
      <c r="J84" s="12">
        <v>0.33173000216598281</v>
      </c>
      <c r="K84" s="12">
        <v>0.24280354936933546</v>
      </c>
      <c r="L84" s="14">
        <v>0.4123963758253506</v>
      </c>
      <c r="M84" s="12">
        <v>0.9098386683848787</v>
      </c>
      <c r="N84" s="12">
        <v>0.78430863478136903</v>
      </c>
      <c r="O84" s="12">
        <v>6.5965199308709588E-2</v>
      </c>
      <c r="P84" s="12">
        <v>0.44198430729724691</v>
      </c>
      <c r="Q84" s="12">
        <v>0.9925757849473944</v>
      </c>
    </row>
    <row r="85" spans="2:17" x14ac:dyDescent="0.3">
      <c r="B85" s="12">
        <v>0.93860025570347005</v>
      </c>
      <c r="C85" s="12">
        <v>8.3638753596724236E-2</v>
      </c>
      <c r="D85" s="14">
        <v>0.21445884011417182</v>
      </c>
      <c r="E85" s="12">
        <v>0.16505113604531374</v>
      </c>
      <c r="F85" s="12">
        <v>0.68867066899168439</v>
      </c>
      <c r="G85" s="12">
        <v>0.26442991536826632</v>
      </c>
      <c r="H85" s="12">
        <v>7.9876364363351549E-4</v>
      </c>
      <c r="I85" s="12">
        <v>0.70421459316685908</v>
      </c>
      <c r="J85" s="12">
        <v>0.99062035656561531</v>
      </c>
      <c r="K85" s="12">
        <v>0.36016430292847268</v>
      </c>
      <c r="L85" s="14">
        <v>0.88249524951159142</v>
      </c>
      <c r="M85" s="12">
        <v>0.52235598009874673</v>
      </c>
      <c r="N85" s="12">
        <v>0.4240698978060613</v>
      </c>
      <c r="O85" s="12">
        <v>1.1098596268280136E-2</v>
      </c>
      <c r="P85" s="12">
        <v>0.82527003723222436</v>
      </c>
      <c r="Q85" s="12">
        <v>0.69842896847522962</v>
      </c>
    </row>
    <row r="86" spans="2:17" x14ac:dyDescent="0.3">
      <c r="B86" s="12">
        <v>8.7363807443599562E-2</v>
      </c>
      <c r="C86" s="12">
        <v>0.14783157757003496</v>
      </c>
      <c r="D86" s="14">
        <v>0.91129249934658874</v>
      </c>
      <c r="E86" s="12">
        <v>0.94640869299729058</v>
      </c>
      <c r="F86" s="12">
        <v>1.524241111321345E-2</v>
      </c>
      <c r="G86" s="12">
        <v>0.70683387912781925</v>
      </c>
      <c r="H86" s="12">
        <v>0.17777644704813067</v>
      </c>
      <c r="I86" s="12">
        <v>0.36492346066129855</v>
      </c>
      <c r="J86" s="12">
        <v>0.75340135838068267</v>
      </c>
      <c r="K86" s="12">
        <v>0.77162783533319335</v>
      </c>
      <c r="L86" s="14">
        <v>8.4359514074689335E-2</v>
      </c>
      <c r="M86" s="12">
        <v>0.61973261710042493</v>
      </c>
      <c r="N86" s="12">
        <v>0.85483349632799932</v>
      </c>
      <c r="O86" s="12">
        <v>0.98834960281117468</v>
      </c>
      <c r="P86" s="12">
        <v>3.1326695110919012E-2</v>
      </c>
      <c r="Q86" s="12">
        <v>0.8887546907921795</v>
      </c>
    </row>
    <row r="87" spans="2:17" x14ac:dyDescent="0.3">
      <c r="B87" s="12">
        <v>0.48916790110873976</v>
      </c>
      <c r="C87" s="12">
        <v>0.27569179837379654</v>
      </c>
      <c r="D87" s="14">
        <v>1.231641787406268E-2</v>
      </c>
      <c r="E87" s="12">
        <v>0.35245198467402883</v>
      </c>
      <c r="F87" s="12">
        <v>0.72870805884772238</v>
      </c>
      <c r="G87" s="12">
        <v>6.9650288684052875E-2</v>
      </c>
      <c r="H87" s="12">
        <v>0.43017913458917967</v>
      </c>
      <c r="I87" s="12">
        <v>0.53437881239257168</v>
      </c>
      <c r="J87" s="12">
        <v>0.61879454074193729</v>
      </c>
      <c r="K87" s="12">
        <v>0.60446279182571172</v>
      </c>
      <c r="L87" s="14">
        <v>0.9465267250568612</v>
      </c>
      <c r="M87" s="12">
        <v>0.9188294803677477</v>
      </c>
      <c r="N87" s="12">
        <v>0.5818423745755219</v>
      </c>
      <c r="O87" s="12">
        <v>0.40728280462896649</v>
      </c>
      <c r="P87" s="12">
        <v>0.44301642473156932</v>
      </c>
      <c r="Q87" s="12">
        <v>0.49087885354718264</v>
      </c>
    </row>
    <row r="88" spans="2:17" x14ac:dyDescent="0.3">
      <c r="B88" s="12">
        <v>0.54652915721449724</v>
      </c>
      <c r="C88" s="12">
        <v>5.5158920227019514E-2</v>
      </c>
      <c r="D88" s="14">
        <v>0.29008518687897267</v>
      </c>
      <c r="E88" s="12">
        <v>0.49622890991614055</v>
      </c>
      <c r="F88" s="12">
        <v>0.42475883600990594</v>
      </c>
      <c r="G88" s="12">
        <v>0.5282748799338004</v>
      </c>
      <c r="H88" s="12">
        <v>0.86145537952296269</v>
      </c>
      <c r="I88" s="12">
        <v>0.60243087082871138</v>
      </c>
      <c r="J88" s="12">
        <v>0.9175366349171945</v>
      </c>
      <c r="K88" s="12">
        <v>0.31815584828983123</v>
      </c>
      <c r="L88" s="14">
        <v>0.50679734352840511</v>
      </c>
      <c r="M88" s="12">
        <v>0.72696296101826863</v>
      </c>
      <c r="N88" s="12">
        <v>0.43043403922895385</v>
      </c>
      <c r="O88" s="12">
        <v>0.17752891089264411</v>
      </c>
      <c r="P88" s="12">
        <v>0.2835534856067119</v>
      </c>
      <c r="Q88" s="12">
        <v>0.96780977663253775</v>
      </c>
    </row>
    <row r="89" spans="2:17" x14ac:dyDescent="0.3">
      <c r="B89" s="12">
        <v>0.3849418680634209</v>
      </c>
      <c r="C89" s="12">
        <v>1.2421135392952365E-2</v>
      </c>
      <c r="D89" s="14">
        <v>0.97502753259542585</v>
      </c>
      <c r="E89" s="12">
        <v>0.74119617127180826</v>
      </c>
      <c r="F89" s="12">
        <v>0.54214418807999132</v>
      </c>
      <c r="G89" s="12">
        <v>0.51983307346407504</v>
      </c>
      <c r="H89" s="12">
        <v>3.7064577726859671E-3</v>
      </c>
      <c r="I89" s="12">
        <v>0.51791609406502581</v>
      </c>
      <c r="J89" s="12">
        <v>0.23281810574520723</v>
      </c>
      <c r="K89" s="12">
        <v>0.56330013573477977</v>
      </c>
      <c r="L89" s="14">
        <v>2.389906733844338E-2</v>
      </c>
      <c r="M89" s="12">
        <v>0.201869016777664</v>
      </c>
      <c r="N89" s="12">
        <v>0.85543687432478155</v>
      </c>
      <c r="O89" s="12">
        <v>0.99796785568966184</v>
      </c>
      <c r="P89" s="12">
        <v>2.3577637445645339E-2</v>
      </c>
      <c r="Q89" s="12">
        <v>5.3263414930819764E-2</v>
      </c>
    </row>
    <row r="90" spans="2:17" x14ac:dyDescent="0.3">
      <c r="B90" s="12">
        <v>0.72283579940902953</v>
      </c>
      <c r="C90" s="12">
        <v>0.77327427367863977</v>
      </c>
      <c r="D90" s="14">
        <v>0.97935031793799521</v>
      </c>
      <c r="E90" s="12">
        <v>6.7536888660886252E-3</v>
      </c>
      <c r="F90" s="12">
        <v>0.67199079847987697</v>
      </c>
      <c r="G90" s="12">
        <v>0.41724486394872451</v>
      </c>
      <c r="H90" s="12">
        <v>0.44023378058672424</v>
      </c>
      <c r="I90" s="12">
        <v>0.33118238778968845</v>
      </c>
      <c r="J90" s="12">
        <v>0.86787970919737334</v>
      </c>
      <c r="K90" s="12">
        <v>0.59450477247145184</v>
      </c>
      <c r="L90" s="14">
        <v>0.4653357768889006</v>
      </c>
      <c r="M90" s="12">
        <v>0.35245684767075414</v>
      </c>
      <c r="N90" s="12">
        <v>0.79465111238209829</v>
      </c>
      <c r="O90" s="12">
        <v>0.99786433879940351</v>
      </c>
      <c r="P90" s="12">
        <v>0.94086093695803474</v>
      </c>
      <c r="Q90" s="12">
        <v>0.42386410461023161</v>
      </c>
    </row>
    <row r="91" spans="2:17" x14ac:dyDescent="0.3">
      <c r="B91" s="12">
        <v>0.51673229570442025</v>
      </c>
      <c r="C91" s="12">
        <v>0.56101464231446041</v>
      </c>
      <c r="D91" s="14">
        <v>0.55414325056545377</v>
      </c>
      <c r="E91" s="12">
        <v>0.56132653305834701</v>
      </c>
      <c r="F91" s="12">
        <v>0.39494961797806538</v>
      </c>
      <c r="G91" s="12">
        <v>0.92686801396818241</v>
      </c>
      <c r="H91" s="12">
        <v>0.946026888773009</v>
      </c>
      <c r="I91" s="12">
        <v>0.64000485286072539</v>
      </c>
      <c r="J91" s="12">
        <v>0.39276332075306808</v>
      </c>
      <c r="K91" s="12">
        <v>0.11328653098937502</v>
      </c>
      <c r="L91" s="14">
        <v>0.49147325010303428</v>
      </c>
      <c r="M91" s="12">
        <v>0.16647462727509166</v>
      </c>
      <c r="N91" s="12">
        <v>0.67863971109789301</v>
      </c>
      <c r="O91" s="12">
        <v>0.8246437430603788</v>
      </c>
      <c r="P91" s="12">
        <v>0.51285088493249553</v>
      </c>
      <c r="Q91" s="12">
        <v>0.85841918546992368</v>
      </c>
    </row>
    <row r="92" spans="2:17" x14ac:dyDescent="0.3">
      <c r="B92" s="12">
        <v>0.69393036362022986</v>
      </c>
      <c r="C92" s="12">
        <v>0.71508354981436106</v>
      </c>
      <c r="D92" s="14">
        <v>0.27850829022037771</v>
      </c>
      <c r="E92" s="12">
        <v>0.32447976692988734</v>
      </c>
      <c r="F92" s="12">
        <v>0.55169186336802256</v>
      </c>
      <c r="G92" s="12">
        <v>0.84508323888858572</v>
      </c>
      <c r="H92" s="12">
        <v>4.6905818409734568E-2</v>
      </c>
      <c r="I92" s="12">
        <v>0.24045517837675923</v>
      </c>
      <c r="J92" s="12">
        <v>0.25572847060427017</v>
      </c>
      <c r="K92" s="12">
        <v>2.1319035261517794E-2</v>
      </c>
      <c r="L92" s="14">
        <v>2.5683113383724976E-2</v>
      </c>
      <c r="M92" s="12">
        <v>0.85423363800935892</v>
      </c>
      <c r="N92" s="12">
        <v>0.90236769658331606</v>
      </c>
      <c r="O92" s="12">
        <v>9.7903902822665312E-2</v>
      </c>
      <c r="P92" s="12">
        <v>0.55517803520234654</v>
      </c>
      <c r="Q92" s="12">
        <v>0.75475167638729168</v>
      </c>
    </row>
    <row r="93" spans="2:17" x14ac:dyDescent="0.3">
      <c r="B93" s="12">
        <v>0.78161157896813727</v>
      </c>
      <c r="C93" s="12">
        <v>8.081775802349167E-2</v>
      </c>
      <c r="D93" s="14">
        <v>0.42265471526415976</v>
      </c>
      <c r="E93" s="12">
        <v>0.27894974505209369</v>
      </c>
      <c r="F93" s="12">
        <v>9.1246722753904885E-2</v>
      </c>
      <c r="G93" s="12">
        <v>0.85298818474313709</v>
      </c>
      <c r="H93" s="12">
        <v>0.26107451265418935</v>
      </c>
      <c r="I93" s="12">
        <v>6.1562118031441848E-3</v>
      </c>
      <c r="J93" s="12">
        <v>0.60941397490967941</v>
      </c>
      <c r="K93" s="12">
        <v>0.88379830421761874</v>
      </c>
      <c r="L93" s="14">
        <v>0.69228375260345043</v>
      </c>
      <c r="M93" s="12">
        <v>0.88823593684879776</v>
      </c>
      <c r="N93" s="12">
        <v>5.4633479621156944E-2</v>
      </c>
      <c r="O93" s="12">
        <v>0.81784838617364097</v>
      </c>
      <c r="P93" s="12">
        <v>0.39987362895331513</v>
      </c>
      <c r="Q93" s="12">
        <v>0.21737738133037121</v>
      </c>
    </row>
    <row r="94" spans="2:17" x14ac:dyDescent="0.3">
      <c r="B94" s="12">
        <v>0.96297814759615785</v>
      </c>
      <c r="C94" s="12">
        <v>0.7484783595342388</v>
      </c>
      <c r="D94" s="14">
        <v>0.89100196599290027</v>
      </c>
      <c r="E94" s="12">
        <v>0.39579266934109647</v>
      </c>
      <c r="F94" s="12">
        <v>0.73474793733332588</v>
      </c>
      <c r="G94" s="12">
        <v>0.37782987898374748</v>
      </c>
      <c r="H94" s="12">
        <v>0.17670143087533141</v>
      </c>
      <c r="I94" s="12">
        <v>0.64237451021866221</v>
      </c>
      <c r="J94" s="12">
        <v>0.69305946839351606</v>
      </c>
      <c r="K94" s="12">
        <v>0.77985393217162891</v>
      </c>
      <c r="L94" s="14">
        <v>0.59517637975681481</v>
      </c>
      <c r="M94" s="12">
        <v>0.17495343725459511</v>
      </c>
      <c r="N94" s="12">
        <v>0.77786217108151878</v>
      </c>
      <c r="O94" s="12">
        <v>0.76366427255366176</v>
      </c>
      <c r="P94" s="12">
        <v>0.21885155816945301</v>
      </c>
      <c r="Q94" s="12">
        <v>0.94605284503759801</v>
      </c>
    </row>
    <row r="95" spans="2:17" x14ac:dyDescent="0.3">
      <c r="B95" s="12">
        <v>0.12721466150358562</v>
      </c>
      <c r="C95" s="12">
        <v>0.3178066187434716</v>
      </c>
      <c r="D95" s="14">
        <v>0.90958951795061882</v>
      </c>
      <c r="E95" s="12">
        <v>0.49447642913354106</v>
      </c>
      <c r="F95" s="12">
        <v>0.45144360991879395</v>
      </c>
      <c r="G95" s="12">
        <v>0.22034084991987601</v>
      </c>
      <c r="H95" s="12">
        <v>0.63121186316823175</v>
      </c>
      <c r="I95" s="12">
        <v>0.54603774247156256</v>
      </c>
      <c r="J95" s="12">
        <v>4.9794814754717365E-2</v>
      </c>
      <c r="K95" s="12">
        <v>5.1887040829603492E-3</v>
      </c>
      <c r="L95" s="14">
        <v>0.75818444515424832</v>
      </c>
      <c r="M95" s="12">
        <v>0.45476931656741582</v>
      </c>
      <c r="N95" s="12">
        <v>0.14466096688957286</v>
      </c>
      <c r="O95" s="12">
        <v>0.73305233951692284</v>
      </c>
      <c r="P95" s="12">
        <v>0.22667180012956933</v>
      </c>
      <c r="Q95" s="12">
        <v>0.61611441169546755</v>
      </c>
    </row>
    <row r="96" spans="2:17" x14ac:dyDescent="0.3">
      <c r="B96" s="12">
        <v>0.84639917653779762</v>
      </c>
      <c r="C96" s="12">
        <v>0.14736350554809707</v>
      </c>
      <c r="D96" s="14">
        <v>0.2748651714234327</v>
      </c>
      <c r="E96" s="12">
        <v>0.14895247491101271</v>
      </c>
      <c r="F96" s="12">
        <v>0.41859398584853702</v>
      </c>
      <c r="G96" s="12">
        <v>0.58309276406198185</v>
      </c>
      <c r="H96" s="12">
        <v>0.39626961645789338</v>
      </c>
      <c r="I96" s="12">
        <v>0.14922019223882321</v>
      </c>
      <c r="J96" s="12">
        <v>0.40129489954491548</v>
      </c>
      <c r="K96" s="12">
        <v>0.4569643167140251</v>
      </c>
      <c r="L96" s="14">
        <v>0.82677934675763698</v>
      </c>
      <c r="M96" s="12">
        <v>8.1804225677444276E-2</v>
      </c>
      <c r="N96" s="12">
        <v>1.5074247024949416E-2</v>
      </c>
      <c r="O96" s="12">
        <v>0.97401316443148112</v>
      </c>
      <c r="P96" s="12">
        <v>0.57713201395123215</v>
      </c>
      <c r="Q96" s="12">
        <v>0.98235308663419563</v>
      </c>
    </row>
    <row r="97" spans="2:17" x14ac:dyDescent="0.3">
      <c r="B97" s="12">
        <v>0.53136344634994814</v>
      </c>
      <c r="C97" s="12">
        <v>0.90369147889745616</v>
      </c>
      <c r="D97" s="14">
        <v>0.87487359139293241</v>
      </c>
      <c r="E97" s="12">
        <v>0.77165042754506552</v>
      </c>
      <c r="F97" s="12">
        <v>0.43497518872333973</v>
      </c>
      <c r="G97" s="12">
        <v>0.63659735567408582</v>
      </c>
      <c r="H97" s="12">
        <v>0.36983474101848679</v>
      </c>
      <c r="I97" s="12">
        <v>0.79503546523184765</v>
      </c>
      <c r="J97" s="12">
        <v>0.41459821597271085</v>
      </c>
      <c r="K97" s="12">
        <v>0.79904093895058104</v>
      </c>
      <c r="L97" s="14">
        <v>0.42629012098058561</v>
      </c>
      <c r="M97" s="12">
        <v>2.884963738400792E-2</v>
      </c>
      <c r="N97" s="12">
        <v>0.66151386634418241</v>
      </c>
      <c r="O97" s="12">
        <v>0.74832967672395512</v>
      </c>
      <c r="P97" s="12">
        <v>0.51662585854709975</v>
      </c>
      <c r="Q97" s="12">
        <v>0.36428475798535143</v>
      </c>
    </row>
    <row r="98" spans="2:17" x14ac:dyDescent="0.3">
      <c r="B98" s="12">
        <v>0.68056736687852837</v>
      </c>
      <c r="C98" s="12">
        <v>0.10010659622639473</v>
      </c>
      <c r="D98" s="14">
        <v>0.13109676635551804</v>
      </c>
      <c r="E98" s="12">
        <v>0.43807912118095405</v>
      </c>
      <c r="F98" s="12">
        <v>0.24410779563926094</v>
      </c>
      <c r="G98" s="12">
        <v>0.3279001826342407</v>
      </c>
      <c r="H98" s="12">
        <v>0.88602123328998061</v>
      </c>
      <c r="I98" s="12">
        <v>5.8666911462386118E-2</v>
      </c>
      <c r="J98" s="12">
        <v>0.11776564934760131</v>
      </c>
      <c r="K98" s="12">
        <v>0.2131441706378745</v>
      </c>
      <c r="L98" s="14">
        <v>0.88471867320189901</v>
      </c>
      <c r="M98" s="12">
        <v>0.30339710716932333</v>
      </c>
      <c r="N98" s="12">
        <v>5.5876952150776926E-2</v>
      </c>
      <c r="O98" s="12">
        <v>0.17305022549668836</v>
      </c>
      <c r="P98" s="12">
        <v>0.98272506004017246</v>
      </c>
      <c r="Q98" s="12">
        <v>0.25317140030556029</v>
      </c>
    </row>
    <row r="99" spans="2:17" x14ac:dyDescent="0.3">
      <c r="B99" s="12">
        <v>0.85969853052327583</v>
      </c>
      <c r="C99" s="12">
        <v>0.18158776891593509</v>
      </c>
      <c r="D99" s="14">
        <v>0.75783278330938231</v>
      </c>
      <c r="E99" s="12">
        <v>0.90548229772233046</v>
      </c>
      <c r="F99" s="12">
        <v>0.98795732584480866</v>
      </c>
      <c r="G99" s="12">
        <v>0.57057159331303264</v>
      </c>
      <c r="H99" s="12">
        <v>0.56287695052834019</v>
      </c>
      <c r="I99" s="12">
        <v>0.75085776354192735</v>
      </c>
      <c r="J99" s="12">
        <v>0.75331577744296574</v>
      </c>
      <c r="K99" s="12">
        <v>0.8137590319779191</v>
      </c>
      <c r="L99" s="14">
        <v>0.12132479294005094</v>
      </c>
      <c r="M99" s="12">
        <v>0.51965663812729801</v>
      </c>
      <c r="N99" s="12">
        <v>0.97739869909606814</v>
      </c>
      <c r="O99" s="12">
        <v>8.1064666395054275E-3</v>
      </c>
      <c r="P99" s="12">
        <v>0.38204819832582637</v>
      </c>
      <c r="Q99" s="12">
        <v>0.35823926345202839</v>
      </c>
    </row>
    <row r="100" spans="2:17" x14ac:dyDescent="0.3">
      <c r="B100" s="12">
        <v>0.91532986144046324</v>
      </c>
      <c r="C100" s="12">
        <v>0.11986520403284406</v>
      </c>
      <c r="D100" s="14">
        <v>0.66095187659024002</v>
      </c>
      <c r="E100" s="12">
        <v>0.70337118203474658</v>
      </c>
      <c r="F100" s="12">
        <v>0.25173353391589126</v>
      </c>
      <c r="G100" s="12">
        <v>0.28628726519059478</v>
      </c>
      <c r="H100" s="12">
        <v>0.56129782803050521</v>
      </c>
      <c r="I100" s="12">
        <v>0.15312607748691054</v>
      </c>
      <c r="J100" s="12">
        <v>0.74217424049834158</v>
      </c>
      <c r="K100" s="12">
        <v>0.62843655395463727</v>
      </c>
      <c r="L100" s="14">
        <v>0.3500551758218724</v>
      </c>
      <c r="M100" s="12">
        <v>0.96206121703541281</v>
      </c>
      <c r="N100" s="12">
        <v>0.88298026521809048</v>
      </c>
      <c r="O100" s="12">
        <v>0.43606137213172258</v>
      </c>
      <c r="P100" s="12">
        <v>0.38335132665957339</v>
      </c>
      <c r="Q100" s="12">
        <v>0.97231587159068389</v>
      </c>
    </row>
    <row r="101" spans="2:17" x14ac:dyDescent="0.3">
      <c r="B101" s="12">
        <v>0.12200397800866414</v>
      </c>
      <c r="C101" s="12">
        <v>0.11764491742959948</v>
      </c>
      <c r="D101" s="14">
        <v>0.79319984977627822</v>
      </c>
      <c r="E101" s="12">
        <v>0.7672547092916524</v>
      </c>
      <c r="F101" s="12">
        <v>0.906003879277681</v>
      </c>
      <c r="G101" s="12">
        <v>0.23964081411076599</v>
      </c>
      <c r="H101" s="12">
        <v>0.64580620636504005</v>
      </c>
      <c r="I101" s="12">
        <v>0.87108878762960829</v>
      </c>
      <c r="J101" s="12">
        <v>0.34568352383132517</v>
      </c>
      <c r="K101" s="12">
        <v>0.55730675823437181</v>
      </c>
      <c r="L101" s="14">
        <v>0.73502957155821225</v>
      </c>
      <c r="M101" s="12">
        <v>4.5326827658494384E-2</v>
      </c>
      <c r="N101" s="12">
        <v>0.99925715690891104</v>
      </c>
      <c r="O101" s="12">
        <v>0.70423578346310567</v>
      </c>
      <c r="P101" s="12">
        <v>0.74833126249581805</v>
      </c>
      <c r="Q101" s="12">
        <v>0.41778782746776616</v>
      </c>
    </row>
    <row r="102" spans="2:17" x14ac:dyDescent="0.3">
      <c r="B102" s="12">
        <v>0.40354905992000778</v>
      </c>
      <c r="C102" s="12">
        <v>0.95890925773243119</v>
      </c>
      <c r="D102" s="14">
        <v>0.36880875635163601</v>
      </c>
      <c r="E102" s="12">
        <v>0.17110866159480764</v>
      </c>
      <c r="F102" s="12">
        <v>0.98931580043526979</v>
      </c>
      <c r="G102" s="12">
        <v>0.53443704905985978</v>
      </c>
      <c r="H102" s="12">
        <v>0.76705646829533336</v>
      </c>
      <c r="I102" s="12">
        <v>0.34496100567431109</v>
      </c>
      <c r="J102" s="12">
        <v>0.42781604239114257</v>
      </c>
      <c r="K102" s="12">
        <v>0.62431033617310172</v>
      </c>
      <c r="L102" s="14">
        <v>2.3740178719730887E-2</v>
      </c>
      <c r="M102" s="12">
        <v>0.14470009789129268</v>
      </c>
      <c r="N102" s="12">
        <v>0.83685315828041418</v>
      </c>
      <c r="O102" s="12">
        <v>3.973543990238948E-2</v>
      </c>
      <c r="P102" s="12">
        <v>0.61099835968447525</v>
      </c>
      <c r="Q102" s="12">
        <v>0.38503849775717053</v>
      </c>
    </row>
    <row r="103" spans="2:17" x14ac:dyDescent="0.3">
      <c r="B103" s="12">
        <v>0.38854248846832662</v>
      </c>
      <c r="C103" s="12">
        <v>0.38512781121451933</v>
      </c>
      <c r="D103" s="14">
        <v>0.74999850137108126</v>
      </c>
      <c r="E103" s="12">
        <v>0.58626545980925315</v>
      </c>
      <c r="F103" s="12">
        <v>0.207170472115485</v>
      </c>
      <c r="G103" s="12">
        <v>0.99829704826885401</v>
      </c>
      <c r="H103" s="12">
        <v>0.36388167488940404</v>
      </c>
      <c r="I103" s="12">
        <v>0.25835233419927101</v>
      </c>
      <c r="J103" s="12">
        <v>0.21293187454747597</v>
      </c>
      <c r="K103" s="12">
        <v>0.73032890589862332</v>
      </c>
      <c r="L103" s="14">
        <v>5.4855278052870604E-2</v>
      </c>
      <c r="M103" s="12">
        <v>0.8194422691014287</v>
      </c>
      <c r="N103" s="12">
        <v>0.6836019382911438</v>
      </c>
      <c r="O103" s="12">
        <v>0.82514350281975357</v>
      </c>
      <c r="P103" s="12">
        <v>0.54817822774265501</v>
      </c>
      <c r="Q103" s="12">
        <v>2.0422828080081779E-2</v>
      </c>
    </row>
    <row r="104" spans="2:17" x14ac:dyDescent="0.3">
      <c r="B104" s="12">
        <v>0.98647959600840474</v>
      </c>
      <c r="C104" s="12">
        <v>2.0192418087003894E-2</v>
      </c>
      <c r="D104" s="14">
        <v>0.52879899351422166</v>
      </c>
      <c r="E104" s="12">
        <v>0.4185916408501964</v>
      </c>
      <c r="F104" s="12">
        <v>0.60419256055985748</v>
      </c>
      <c r="G104" s="12">
        <v>0.19464581883148835</v>
      </c>
      <c r="H104" s="12">
        <v>0.19914638661064643</v>
      </c>
      <c r="I104" s="12">
        <v>0.25656354874265297</v>
      </c>
      <c r="J104" s="12">
        <v>0.77931304139335023</v>
      </c>
      <c r="K104" s="12">
        <v>0.13421135097001624</v>
      </c>
      <c r="L104" s="14">
        <v>0.94623572336700779</v>
      </c>
      <c r="M104" s="12">
        <v>0.69691361126946338</v>
      </c>
      <c r="N104" s="12">
        <v>0.12530263723107216</v>
      </c>
      <c r="O104" s="12">
        <v>0.49036576932033071</v>
      </c>
      <c r="P104" s="12">
        <v>0.78524602220514073</v>
      </c>
      <c r="Q104" s="12">
        <v>0.81558123050742104</v>
      </c>
    </row>
    <row r="105" spans="2:17" x14ac:dyDescent="0.3">
      <c r="B105" s="12">
        <v>0.6428465545384745</v>
      </c>
      <c r="C105" s="12">
        <v>0.40474793318117275</v>
      </c>
      <c r="D105" s="14">
        <v>0.38874501200011236</v>
      </c>
      <c r="E105" s="12">
        <v>0.23436015582567116</v>
      </c>
      <c r="F105" s="12">
        <v>0.35182306523963813</v>
      </c>
      <c r="G105" s="12">
        <v>0.94668976377481107</v>
      </c>
      <c r="H105" s="12">
        <v>0.40809588259832913</v>
      </c>
      <c r="I105" s="12">
        <v>0.66340074027771045</v>
      </c>
      <c r="J105" s="12">
        <v>0.84479194352540343</v>
      </c>
      <c r="K105" s="12">
        <v>0.89291888266835651</v>
      </c>
      <c r="L105" s="14">
        <v>0.50520557628156149</v>
      </c>
      <c r="M105" s="12">
        <v>0.31271657002174202</v>
      </c>
      <c r="N105" s="12">
        <v>0.41948909911501975</v>
      </c>
      <c r="O105" s="12">
        <v>0.78760179603480474</v>
      </c>
      <c r="P105" s="12">
        <v>0.5269211007951109</v>
      </c>
      <c r="Q105" s="12">
        <v>0.41170083010039082</v>
      </c>
    </row>
    <row r="106" spans="2:17" x14ac:dyDescent="0.3">
      <c r="B106" s="12">
        <v>0.53141413758213396</v>
      </c>
      <c r="C106" s="12">
        <v>2.365947635960719E-2</v>
      </c>
      <c r="D106" s="14">
        <v>4.2518816644523838E-2</v>
      </c>
      <c r="E106" s="12">
        <v>0.47182935358021272</v>
      </c>
      <c r="F106" s="12">
        <v>5.8656312848775816E-2</v>
      </c>
      <c r="G106" s="12">
        <v>0.42527660406260837</v>
      </c>
      <c r="H106" s="12">
        <v>0.27675758121449601</v>
      </c>
      <c r="I106" s="12">
        <v>0.94888175681929798</v>
      </c>
      <c r="J106" s="12">
        <v>0.40247809182926209</v>
      </c>
      <c r="K106" s="12">
        <v>0.70242809423519503</v>
      </c>
      <c r="L106" s="14">
        <v>8.2449238897646104E-2</v>
      </c>
      <c r="M106" s="12">
        <v>0.2899599211156616</v>
      </c>
      <c r="N106" s="12">
        <v>0.43152266069871836</v>
      </c>
      <c r="O106" s="12">
        <v>0.30647935946524435</v>
      </c>
      <c r="P106" s="12">
        <v>0.39392055318131769</v>
      </c>
      <c r="Q106" s="12">
        <v>0.64502013035190542</v>
      </c>
    </row>
    <row r="107" spans="2:17" x14ac:dyDescent="0.3">
      <c r="B107" s="12">
        <v>0.35158943039774337</v>
      </c>
      <c r="C107" s="12">
        <v>4.8781469829489277E-2</v>
      </c>
      <c r="D107" s="14">
        <v>0.71011533910123337</v>
      </c>
      <c r="E107" s="12">
        <v>0.10870199946045211</v>
      </c>
      <c r="F107" s="12">
        <v>3.4863288350389432E-2</v>
      </c>
      <c r="G107" s="12">
        <v>0.81969576107959097</v>
      </c>
      <c r="H107" s="12">
        <v>5.4089210430371182E-2</v>
      </c>
      <c r="I107" s="12">
        <v>0.24752465217048392</v>
      </c>
      <c r="J107" s="12">
        <v>0.53355655042581018</v>
      </c>
      <c r="K107" s="12">
        <v>0.16562235258554603</v>
      </c>
      <c r="L107" s="14">
        <v>0.48028576969571679</v>
      </c>
      <c r="M107" s="12">
        <v>0.50749797814247199</v>
      </c>
      <c r="N107" s="12">
        <v>5.7775851327429351E-2</v>
      </c>
      <c r="O107" s="12">
        <v>0.74970568831020312</v>
      </c>
      <c r="P107" s="12">
        <v>8.0654457809529845E-2</v>
      </c>
      <c r="Q107" s="12">
        <v>5.1186484788275699E-2</v>
      </c>
    </row>
    <row r="108" spans="2:17" x14ac:dyDescent="0.3">
      <c r="B108" s="12">
        <v>0.72310423835927207</v>
      </c>
      <c r="C108" s="12">
        <v>0.36018364347710019</v>
      </c>
      <c r="D108" s="14">
        <v>0.34244164911700725</v>
      </c>
      <c r="E108" s="12">
        <v>0.11296144235677774</v>
      </c>
      <c r="F108" s="12">
        <v>0.12246734021443784</v>
      </c>
      <c r="G108" s="12">
        <v>2.8238121463050436E-2</v>
      </c>
      <c r="H108" s="12">
        <v>0.18919518276587155</v>
      </c>
      <c r="I108" s="12">
        <v>0.10776411479422443</v>
      </c>
      <c r="J108" s="12">
        <v>0.85440142707750577</v>
      </c>
      <c r="K108" s="12">
        <v>0.98928317532506638</v>
      </c>
      <c r="L108" s="14">
        <v>0.23689235716769241</v>
      </c>
      <c r="M108" s="12">
        <v>0.34118383385032836</v>
      </c>
      <c r="N108" s="12">
        <v>0.50784654895302506</v>
      </c>
      <c r="O108" s="12">
        <v>0.85754577861534287</v>
      </c>
      <c r="P108" s="12">
        <v>0.38455932082522981</v>
      </c>
      <c r="Q108" s="12">
        <v>0.67254433982580686</v>
      </c>
    </row>
    <row r="109" spans="2:17" x14ac:dyDescent="0.3">
      <c r="B109" s="12">
        <v>0.2610705722176887</v>
      </c>
      <c r="C109" s="12">
        <v>0.71506194066150552</v>
      </c>
      <c r="D109" s="14">
        <v>0.70401497597034179</v>
      </c>
      <c r="E109" s="12">
        <v>2.859162493830758E-2</v>
      </c>
      <c r="F109" s="12">
        <v>0.85124257849385221</v>
      </c>
      <c r="G109" s="12">
        <v>0.65254918916165749</v>
      </c>
      <c r="H109" s="12">
        <v>0.98361158283954087</v>
      </c>
      <c r="I109" s="12">
        <v>0.93531563263684836</v>
      </c>
      <c r="J109" s="12">
        <v>0.67766728344613303</v>
      </c>
      <c r="K109" s="12">
        <v>0.19177826478228965</v>
      </c>
      <c r="L109" s="14">
        <v>0.14751328624838767</v>
      </c>
      <c r="M109" s="12">
        <v>0.50887295157937285</v>
      </c>
      <c r="N109" s="12">
        <v>0.25325679729289874</v>
      </c>
      <c r="O109" s="12">
        <v>0.62269303704791756</v>
      </c>
      <c r="P109" s="12">
        <v>0.92161034764967376</v>
      </c>
      <c r="Q109" s="12">
        <v>0.42486106608087137</v>
      </c>
    </row>
    <row r="110" spans="2:17" x14ac:dyDescent="0.3">
      <c r="B110" s="12">
        <v>4.4132742780722545E-4</v>
      </c>
      <c r="C110" s="12">
        <v>0.29724511572146284</v>
      </c>
      <c r="D110" s="14">
        <v>0.152466730306964</v>
      </c>
      <c r="E110" s="12">
        <v>0.12167012385295362</v>
      </c>
      <c r="F110" s="12">
        <v>0.87583343080336817</v>
      </c>
      <c r="G110" s="12">
        <v>0.54076198954767651</v>
      </c>
      <c r="H110" s="12">
        <v>0.89494931992506888</v>
      </c>
      <c r="I110" s="12">
        <v>0.89358608918235349</v>
      </c>
      <c r="J110" s="12">
        <v>0.64544515176092387</v>
      </c>
      <c r="K110" s="12">
        <v>0.79528178979886954</v>
      </c>
      <c r="L110" s="14">
        <v>0.8517074558489468</v>
      </c>
      <c r="M110" s="12">
        <v>7.9037284727494495E-2</v>
      </c>
      <c r="N110" s="12">
        <v>0.91826538946372893</v>
      </c>
      <c r="O110" s="12">
        <v>0.82132303014969477</v>
      </c>
      <c r="P110" s="12">
        <v>0.48347770740776497</v>
      </c>
      <c r="Q110" s="12">
        <v>0.35300811006714228</v>
      </c>
    </row>
    <row r="111" spans="2:17" x14ac:dyDescent="0.3">
      <c r="B111" s="12">
        <v>8.7062965056478259E-2</v>
      </c>
      <c r="C111" s="12">
        <v>0.92025022541956258</v>
      </c>
      <c r="D111" s="14">
        <v>0.25893092995190337</v>
      </c>
      <c r="E111" s="12">
        <v>0.86034860027390325</v>
      </c>
      <c r="F111" s="12">
        <v>0.11681020744517773</v>
      </c>
      <c r="G111" s="12">
        <v>0.76577874644527633</v>
      </c>
      <c r="H111" s="12">
        <v>0.50225092844826613</v>
      </c>
      <c r="I111" s="12">
        <v>0.19584826381136655</v>
      </c>
      <c r="J111" s="12">
        <v>0.25428164761022032</v>
      </c>
      <c r="K111" s="12">
        <v>0.21041827547432113</v>
      </c>
      <c r="L111" s="14">
        <v>0.66750850729883604</v>
      </c>
      <c r="M111" s="12">
        <v>0.67121528010932163</v>
      </c>
      <c r="N111" s="12">
        <v>0.36111107181511376</v>
      </c>
      <c r="O111" s="12">
        <v>0.575819083085086</v>
      </c>
      <c r="P111" s="12">
        <v>0.83313422589519215</v>
      </c>
      <c r="Q111" s="12">
        <v>0.26889722409437788</v>
      </c>
    </row>
    <row r="112" spans="2:17" x14ac:dyDescent="0.3">
      <c r="B112" s="12">
        <v>0.96503195045165047</v>
      </c>
      <c r="C112" s="12">
        <v>6.676199629870605E-2</v>
      </c>
      <c r="D112" s="14">
        <v>0.50937355694698949</v>
      </c>
      <c r="E112" s="12">
        <v>0.63904264440658531</v>
      </c>
      <c r="F112" s="12">
        <v>0.24808746970500217</v>
      </c>
      <c r="G112" s="12">
        <v>0.50699223177504837</v>
      </c>
      <c r="H112" s="12">
        <v>0.91527419083625183</v>
      </c>
      <c r="I112" s="12">
        <v>0.42676320185116401</v>
      </c>
      <c r="J112" s="12">
        <v>0.63302684772597861</v>
      </c>
      <c r="K112" s="12">
        <v>0.42036016049960168</v>
      </c>
      <c r="L112" s="14">
        <v>0.5045679516466679</v>
      </c>
      <c r="M112" s="12">
        <v>0.41981295060729895</v>
      </c>
      <c r="N112" s="12">
        <v>7.2553909030379504E-2</v>
      </c>
      <c r="O112" s="12">
        <v>0.18458753936093286</v>
      </c>
      <c r="P112" s="12">
        <v>0.30588835640821199</v>
      </c>
      <c r="Q112" s="12">
        <v>0.18045112315749456</v>
      </c>
    </row>
    <row r="113" spans="2:17" x14ac:dyDescent="0.3">
      <c r="B113" s="12">
        <v>0.77570730900953833</v>
      </c>
      <c r="C113" s="12">
        <v>0.37121240708937825</v>
      </c>
      <c r="D113" s="14">
        <v>0.60561547460367571</v>
      </c>
      <c r="E113" s="12">
        <v>0.91274413907345586</v>
      </c>
      <c r="F113" s="12">
        <v>0.53904544614987127</v>
      </c>
      <c r="G113" s="12">
        <v>0.44477175078111086</v>
      </c>
      <c r="H113" s="12">
        <v>0.38182780410378386</v>
      </c>
      <c r="I113" s="12">
        <v>0.61475165789968322</v>
      </c>
      <c r="J113" s="12">
        <v>0.87690445187358557</v>
      </c>
      <c r="K113" s="12">
        <v>0.8579320862806421</v>
      </c>
      <c r="L113" s="14">
        <v>0.38352391908268224</v>
      </c>
      <c r="M113" s="12">
        <v>5.0610836544260129E-2</v>
      </c>
      <c r="N113" s="12">
        <v>0.18290823152688879</v>
      </c>
      <c r="O113" s="12">
        <v>0.29106509065318953</v>
      </c>
      <c r="P113" s="12">
        <v>0.78972226843895665</v>
      </c>
      <c r="Q113" s="12">
        <v>0.54247811778823873</v>
      </c>
    </row>
    <row r="114" spans="2:17" x14ac:dyDescent="0.3">
      <c r="B114" s="12">
        <v>0.16425479331762616</v>
      </c>
      <c r="C114" s="12">
        <v>0.61153820768281308</v>
      </c>
      <c r="D114" s="14">
        <v>0.60162835702300144</v>
      </c>
      <c r="E114" s="12">
        <v>0.18306958712449894</v>
      </c>
      <c r="F114" s="12">
        <v>0.27037655534709981</v>
      </c>
      <c r="G114" s="12">
        <v>0.4959529473294193</v>
      </c>
      <c r="H114" s="12">
        <v>0.65039441115048557</v>
      </c>
      <c r="I114" s="12">
        <v>0.11733236953820292</v>
      </c>
      <c r="J114" s="12">
        <v>0.96188205877847244</v>
      </c>
      <c r="K114" s="12">
        <v>0.50080137287982329</v>
      </c>
      <c r="L114" s="14">
        <v>0.48606160618342642</v>
      </c>
      <c r="M114" s="12">
        <v>0.85782587488977402</v>
      </c>
      <c r="N114" s="12">
        <v>0.85638900931497308</v>
      </c>
      <c r="O114" s="12">
        <v>9.789198107319308E-2</v>
      </c>
      <c r="P114" s="12">
        <v>0.60273845429631678</v>
      </c>
      <c r="Q114" s="12">
        <v>0.73081293566959982</v>
      </c>
    </row>
    <row r="115" spans="2:17" x14ac:dyDescent="0.3">
      <c r="B115" s="12">
        <v>0.73987526327233266</v>
      </c>
      <c r="C115" s="12">
        <v>0.55132821856464709</v>
      </c>
      <c r="D115" s="14">
        <v>0.82341835459387291</v>
      </c>
      <c r="E115" s="12">
        <v>0.33274228151923513</v>
      </c>
      <c r="F115" s="12">
        <v>0.5338806573780126</v>
      </c>
      <c r="G115" s="12">
        <v>0.56037673242207475</v>
      </c>
      <c r="H115" s="12">
        <v>0.71346486625006822</v>
      </c>
      <c r="I115" s="12">
        <v>0.83220139176317875</v>
      </c>
      <c r="J115" s="12">
        <v>0.51338890607734133</v>
      </c>
      <c r="K115" s="12">
        <v>0.27502606934794471</v>
      </c>
      <c r="L115" s="14">
        <v>0.74770559218193089</v>
      </c>
      <c r="M115" s="12">
        <v>0.78657104397368727</v>
      </c>
      <c r="N115" s="12">
        <v>0.36842294584126822</v>
      </c>
      <c r="O115" s="12">
        <v>1.4825035956614885E-2</v>
      </c>
      <c r="P115" s="12">
        <v>0.9051380201997361</v>
      </c>
      <c r="Q115" s="12">
        <v>0.31423923996362269</v>
      </c>
    </row>
    <row r="116" spans="2:17" x14ac:dyDescent="0.3">
      <c r="B116" s="12">
        <v>0.2790792919138283</v>
      </c>
      <c r="C116" s="12">
        <v>0.19990478840394799</v>
      </c>
      <c r="D116" s="14">
        <v>0.95342572334838716</v>
      </c>
      <c r="E116" s="12">
        <v>5.3345861799429795E-2</v>
      </c>
      <c r="F116" s="12">
        <v>0.48348281458659703</v>
      </c>
      <c r="G116" s="12">
        <v>0.12383635974316576</v>
      </c>
      <c r="H116" s="12">
        <v>6.2669581284504616E-3</v>
      </c>
      <c r="I116" s="12">
        <v>0.881241504475204</v>
      </c>
      <c r="J116" s="12">
        <v>0.10380867219771428</v>
      </c>
      <c r="K116" s="12">
        <v>0.39382705615749924</v>
      </c>
      <c r="L116" s="14">
        <v>0.59127530585158006</v>
      </c>
      <c r="M116" s="12">
        <v>0.74500850820462294</v>
      </c>
      <c r="N116" s="12">
        <v>0.66619792756667096</v>
      </c>
      <c r="O116" s="12">
        <v>0.58407912905269987</v>
      </c>
      <c r="P116" s="12">
        <v>0.28767475371115347</v>
      </c>
      <c r="Q116" s="12">
        <v>0.52024219929668925</v>
      </c>
    </row>
    <row r="117" spans="2:17" x14ac:dyDescent="0.3">
      <c r="B117" s="12">
        <v>0.40349971052912359</v>
      </c>
      <c r="C117" s="12">
        <v>0.28164103674893348</v>
      </c>
      <c r="D117" s="14">
        <v>0.89257327581887314</v>
      </c>
      <c r="E117" s="12">
        <v>1.525347262443022E-3</v>
      </c>
      <c r="F117" s="12">
        <v>6.5910971830117404E-2</v>
      </c>
      <c r="G117" s="12">
        <v>4.6817525787600012E-2</v>
      </c>
      <c r="H117" s="12">
        <v>0.51280026472451756</v>
      </c>
      <c r="I117" s="12">
        <v>0.16147749399053546</v>
      </c>
      <c r="J117" s="12">
        <v>0.5986842372028649</v>
      </c>
      <c r="K117" s="12">
        <v>0.75018731417540074</v>
      </c>
      <c r="L117" s="14">
        <v>0.58272392129656492</v>
      </c>
      <c r="M117" s="12">
        <v>0.24612067064985954</v>
      </c>
      <c r="N117" s="12">
        <v>0.80099363307208971</v>
      </c>
      <c r="O117" s="12">
        <v>0.29743009830062617</v>
      </c>
      <c r="P117" s="12">
        <v>4.67100562381213E-2</v>
      </c>
      <c r="Q117" s="12">
        <v>0.69684832513743822</v>
      </c>
    </row>
    <row r="118" spans="2:17" x14ac:dyDescent="0.3">
      <c r="B118" s="12">
        <v>0.29655123385947135</v>
      </c>
      <c r="C118" s="12">
        <v>7.5638797216751819E-2</v>
      </c>
      <c r="D118" s="14">
        <v>0.47599278718307581</v>
      </c>
      <c r="E118" s="12">
        <v>0.96208117784355363</v>
      </c>
      <c r="F118" s="12">
        <v>0.41870836706453096</v>
      </c>
      <c r="G118" s="12">
        <v>0.3427427242931122</v>
      </c>
      <c r="H118" s="12">
        <v>0.68371498906235484</v>
      </c>
      <c r="I118" s="12">
        <v>0.73979361753336548</v>
      </c>
      <c r="J118" s="12">
        <v>0.28469448470262737</v>
      </c>
      <c r="K118" s="12">
        <v>0.26588647646496177</v>
      </c>
      <c r="L118" s="14">
        <v>0.86075655456789613</v>
      </c>
      <c r="M118" s="12">
        <v>0.931447808213691</v>
      </c>
      <c r="N118" s="12">
        <v>7.5339101970073319E-2</v>
      </c>
      <c r="O118" s="12">
        <v>0.4248194287912912</v>
      </c>
      <c r="P118" s="12">
        <v>0.51982460529877028</v>
      </c>
      <c r="Q118" s="12">
        <v>0.57452871176925591</v>
      </c>
    </row>
    <row r="119" spans="2:17" x14ac:dyDescent="0.3">
      <c r="B119" s="12">
        <v>0.42617583124618119</v>
      </c>
      <c r="C119" s="12">
        <v>0.49737027357800123</v>
      </c>
      <c r="D119" s="14">
        <v>0.93555287037555512</v>
      </c>
      <c r="E119" s="12">
        <v>0.18874764454877635</v>
      </c>
      <c r="F119" s="12">
        <v>0.95653071559059399</v>
      </c>
      <c r="G119" s="12">
        <v>0.32359745363227344</v>
      </c>
      <c r="H119" s="12">
        <v>0.22390505549609796</v>
      </c>
      <c r="I119" s="12">
        <v>0.8483506955588469</v>
      </c>
      <c r="J119" s="12">
        <v>0.58091655359139516</v>
      </c>
      <c r="K119" s="12">
        <v>0.39797695182952975</v>
      </c>
      <c r="L119" s="14">
        <v>0.55042603585183758</v>
      </c>
      <c r="M119" s="12">
        <v>0.94562465557611386</v>
      </c>
      <c r="N119" s="12">
        <v>0.69326397259598593</v>
      </c>
      <c r="O119" s="12">
        <v>0.10498526394683316</v>
      </c>
      <c r="P119" s="12">
        <v>0.87662007670180708</v>
      </c>
      <c r="Q119" s="12">
        <v>0.43415042881387955</v>
      </c>
    </row>
    <row r="120" spans="2:17" x14ac:dyDescent="0.3">
      <c r="B120" s="12">
        <v>0.4111575540705541</v>
      </c>
      <c r="C120" s="12">
        <v>0.22385731990112046</v>
      </c>
      <c r="D120" s="14">
        <v>0.80718098983253483</v>
      </c>
      <c r="E120" s="12">
        <v>0.55350987378559302</v>
      </c>
      <c r="F120" s="12">
        <v>0.18277829110412691</v>
      </c>
      <c r="G120" s="12">
        <v>0.68268801783169542</v>
      </c>
      <c r="H120" s="12">
        <v>0.81050691566433675</v>
      </c>
      <c r="I120" s="12">
        <v>0.38190855925385686</v>
      </c>
      <c r="J120" s="12">
        <v>0.28544638919353016</v>
      </c>
      <c r="K120" s="12">
        <v>0.14418755053761245</v>
      </c>
      <c r="L120" s="14">
        <v>0.74557518462414607</v>
      </c>
      <c r="M120" s="12">
        <v>5.2609229371172184E-2</v>
      </c>
      <c r="N120" s="12">
        <v>0.90031330422869438</v>
      </c>
      <c r="O120" s="12">
        <v>0.91243179700554022</v>
      </c>
      <c r="P120" s="12">
        <v>0.75595921271899269</v>
      </c>
      <c r="Q120" s="12">
        <v>0.1983659046273285</v>
      </c>
    </row>
    <row r="121" spans="2:17" x14ac:dyDescent="0.3">
      <c r="B121" s="12">
        <v>0.80378854129358501</v>
      </c>
      <c r="C121" s="12">
        <v>0.37404369045303887</v>
      </c>
      <c r="D121" s="14">
        <v>0.18485211334563728</v>
      </c>
      <c r="E121" s="12">
        <v>0.79406918121981818</v>
      </c>
      <c r="F121" s="12">
        <v>0.37018112841484996</v>
      </c>
      <c r="G121" s="12">
        <v>0.58538370802764494</v>
      </c>
      <c r="H121" s="12">
        <v>0.80177220285978734</v>
      </c>
      <c r="I121" s="12">
        <v>0.83388473794489482</v>
      </c>
      <c r="J121" s="12">
        <v>0.17479364929777574</v>
      </c>
      <c r="K121" s="12">
        <v>0.64246881302935877</v>
      </c>
      <c r="L121" s="14">
        <v>0.58504682432452082</v>
      </c>
      <c r="M121" s="12">
        <v>0.11243439259942201</v>
      </c>
      <c r="N121" s="12">
        <v>0.32359071597033751</v>
      </c>
      <c r="O121" s="12">
        <v>0.27076355973882404</v>
      </c>
      <c r="P121" s="12">
        <v>0.6995930906921437</v>
      </c>
      <c r="Q121" s="12">
        <v>6.9154854839505342E-2</v>
      </c>
    </row>
    <row r="122" spans="2:17" x14ac:dyDescent="0.3">
      <c r="B122" s="12">
        <v>0.91141414559549694</v>
      </c>
      <c r="C122" s="12">
        <v>0.24254096705900219</v>
      </c>
      <c r="D122" s="14">
        <v>0.312288431963758</v>
      </c>
      <c r="E122" s="12">
        <v>0.31184196328991565</v>
      </c>
      <c r="F122" s="12">
        <v>0.4735718358668759</v>
      </c>
      <c r="G122" s="12">
        <v>2.0741523698482034E-2</v>
      </c>
      <c r="H122" s="12">
        <v>4.7994768681818956E-2</v>
      </c>
      <c r="I122" s="12">
        <v>0.93742127025758637</v>
      </c>
      <c r="J122" s="12">
        <v>0.26627115873547913</v>
      </c>
      <c r="K122" s="12">
        <v>0.55845781069039946</v>
      </c>
      <c r="L122" s="14">
        <v>7.1765500278896166E-2</v>
      </c>
      <c r="M122" s="12">
        <v>0.90954499842021885</v>
      </c>
      <c r="N122" s="12">
        <v>0.64649675541040819</v>
      </c>
      <c r="O122" s="12">
        <v>0.77126698723714249</v>
      </c>
      <c r="P122" s="12">
        <v>0.32463714214889716</v>
      </c>
      <c r="Q122" s="12">
        <v>0.87779888204710699</v>
      </c>
    </row>
    <row r="123" spans="2:17" x14ac:dyDescent="0.3">
      <c r="B123" s="12">
        <v>0.87233299908196749</v>
      </c>
      <c r="C123" s="12">
        <v>0.61317717981154596</v>
      </c>
      <c r="D123" s="14">
        <v>0.95079799399263032</v>
      </c>
      <c r="E123" s="12">
        <v>0.38756115896811938</v>
      </c>
      <c r="F123" s="12">
        <v>0.32747467607306469</v>
      </c>
      <c r="G123" s="12">
        <v>5.1229781154621401E-2</v>
      </c>
      <c r="H123" s="12">
        <v>0.27522973634542769</v>
      </c>
      <c r="I123" s="12">
        <v>0.43450009865142869</v>
      </c>
      <c r="J123" s="12">
        <v>0.31932120864961666</v>
      </c>
      <c r="K123" s="12">
        <v>0.92849882967931707</v>
      </c>
      <c r="L123" s="14">
        <v>0.22290227307311938</v>
      </c>
      <c r="M123" s="12">
        <v>0.7733956893871099</v>
      </c>
      <c r="N123" s="12">
        <v>0.50882197416398411</v>
      </c>
      <c r="O123" s="12">
        <v>0.84757776648831795</v>
      </c>
      <c r="P123" s="12">
        <v>0.39560911982434477</v>
      </c>
      <c r="Q123" s="12">
        <v>0.30933534695364084</v>
      </c>
    </row>
    <row r="124" spans="2:17" x14ac:dyDescent="0.3">
      <c r="B124" s="12">
        <v>0.31996610211670351</v>
      </c>
      <c r="C124" s="12">
        <v>0.38763392372976591</v>
      </c>
      <c r="D124" s="14">
        <v>0.19387653394393656</v>
      </c>
      <c r="E124" s="12">
        <v>0.31447533894904289</v>
      </c>
      <c r="F124" s="12">
        <v>0.82141377514901048</v>
      </c>
      <c r="G124" s="12">
        <v>0.71692770439784081</v>
      </c>
      <c r="H124" s="12">
        <v>0.78439206665663441</v>
      </c>
      <c r="I124" s="12">
        <v>0.29884978853456357</v>
      </c>
      <c r="J124" s="12">
        <v>0.50478104163588711</v>
      </c>
      <c r="K124" s="12">
        <v>0.47641668481426169</v>
      </c>
      <c r="L124" s="14">
        <v>0.47156596857616107</v>
      </c>
      <c r="M124" s="12">
        <v>0.63151529127677963</v>
      </c>
      <c r="N124" s="12">
        <v>6.6940793918752739E-3</v>
      </c>
      <c r="O124" s="12">
        <v>0.68316404378957118</v>
      </c>
      <c r="P124" s="12">
        <v>1.4814907887208628E-2</v>
      </c>
      <c r="Q124" s="12">
        <v>0.65549300012856104</v>
      </c>
    </row>
    <row r="125" spans="2:17" x14ac:dyDescent="0.3">
      <c r="B125" s="12">
        <v>0.88724204569661347</v>
      </c>
      <c r="C125" s="12">
        <v>0.13486498677375369</v>
      </c>
      <c r="D125" s="14">
        <v>0.24740441554865766</v>
      </c>
      <c r="E125" s="12">
        <v>0.88270447416422226</v>
      </c>
      <c r="F125" s="12">
        <v>0.33728303423970196</v>
      </c>
      <c r="G125" s="12">
        <v>0.51365964503961603</v>
      </c>
      <c r="H125" s="12">
        <v>0.70852338866936404</v>
      </c>
      <c r="I125" s="12">
        <v>0.89039040969212846</v>
      </c>
      <c r="J125" s="12">
        <v>0.5155203704127036</v>
      </c>
      <c r="K125" s="12">
        <v>0.68054756962274043</v>
      </c>
      <c r="L125" s="14">
        <v>0.41241806971682954</v>
      </c>
      <c r="M125" s="12">
        <v>0.80872579259896571</v>
      </c>
      <c r="N125" s="12">
        <v>0.99092791549563719</v>
      </c>
      <c r="O125" s="12">
        <v>0.67265185554284557</v>
      </c>
      <c r="P125" s="12">
        <v>0.2154327301702883</v>
      </c>
      <c r="Q125" s="12">
        <v>0.79633084803036813</v>
      </c>
    </row>
    <row r="126" spans="2:17" x14ac:dyDescent="0.3">
      <c r="B126" s="12">
        <v>3.8609803513088181E-2</v>
      </c>
      <c r="C126" s="12">
        <v>0.49606465732635652</v>
      </c>
      <c r="D126" s="14">
        <v>0.74416666293604417</v>
      </c>
      <c r="E126" s="12">
        <v>0.34325375410999137</v>
      </c>
      <c r="F126" s="12">
        <v>0.22337110568515772</v>
      </c>
      <c r="G126" s="12">
        <v>0.75654469882107556</v>
      </c>
      <c r="H126" s="12">
        <v>0.5712095425542385</v>
      </c>
      <c r="I126" s="12">
        <v>0.58867851335321397</v>
      </c>
      <c r="J126" s="12">
        <v>0.45914472005504248</v>
      </c>
      <c r="K126" s="12">
        <v>0.42293070533739652</v>
      </c>
      <c r="L126" s="14">
        <v>7.7087245662373682E-2</v>
      </c>
      <c r="M126" s="12">
        <v>0.8323896049386974</v>
      </c>
      <c r="N126" s="12">
        <v>8.7015751701233546E-2</v>
      </c>
      <c r="O126" s="12">
        <v>0.5985322634387793</v>
      </c>
      <c r="P126" s="12">
        <v>0.1706572295180826</v>
      </c>
      <c r="Q126" s="12">
        <v>0.68752931668788553</v>
      </c>
    </row>
    <row r="127" spans="2:17" x14ac:dyDescent="0.3">
      <c r="B127" s="12">
        <v>0.75964258515910643</v>
      </c>
      <c r="C127" s="12">
        <v>0.85819661600168562</v>
      </c>
      <c r="D127" s="14">
        <v>0.82848418229107357</v>
      </c>
      <c r="E127" s="12">
        <v>7.6896562819833036E-2</v>
      </c>
      <c r="F127" s="12">
        <v>0.99035836746602346</v>
      </c>
      <c r="G127" s="12">
        <v>0.57873551710014048</v>
      </c>
      <c r="H127" s="12">
        <v>0.55498119447978578</v>
      </c>
      <c r="I127" s="12">
        <v>0.59562988802397565</v>
      </c>
      <c r="J127" s="12">
        <v>0.10364296948537044</v>
      </c>
      <c r="K127" s="12">
        <v>0.22247853941060081</v>
      </c>
      <c r="L127" s="14">
        <v>0.863114102631799</v>
      </c>
      <c r="M127" s="12">
        <v>0.90349005552326034</v>
      </c>
      <c r="N127" s="12">
        <v>0.36540081944513947</v>
      </c>
      <c r="O127" s="12">
        <v>0.19011610136799773</v>
      </c>
      <c r="P127" s="12">
        <v>0.21534800993127456</v>
      </c>
      <c r="Q127" s="12">
        <v>0.78090677783895179</v>
      </c>
    </row>
    <row r="128" spans="2:17" x14ac:dyDescent="0.3">
      <c r="B128" s="12">
        <v>0.97370843083823044</v>
      </c>
      <c r="C128" s="12">
        <v>0.54073032154199119</v>
      </c>
      <c r="D128" s="14">
        <v>0.5344087949747367</v>
      </c>
      <c r="E128" s="12">
        <v>0.37148933109154925</v>
      </c>
      <c r="F128" s="12">
        <v>0.98231865523844153</v>
      </c>
      <c r="G128" s="12">
        <v>0.84593338235811122</v>
      </c>
      <c r="H128" s="12">
        <v>0.81114324630319956</v>
      </c>
      <c r="I128" s="12">
        <v>0.52666834585191724</v>
      </c>
      <c r="J128" s="12">
        <v>0.98590938427457386</v>
      </c>
      <c r="K128" s="12">
        <v>0.76134972532588785</v>
      </c>
      <c r="L128" s="14">
        <v>0.90558871354090109</v>
      </c>
      <c r="M128" s="12">
        <v>0.13262261513297391</v>
      </c>
      <c r="N128" s="12">
        <v>0.96761785807214151</v>
      </c>
      <c r="O128" s="12">
        <v>3.5245024258131641E-2</v>
      </c>
      <c r="P128" s="12">
        <v>0.31205874986780047</v>
      </c>
      <c r="Q128" s="12">
        <v>2.6684009831959621E-2</v>
      </c>
    </row>
    <row r="129" spans="2:17" x14ac:dyDescent="0.3">
      <c r="B129" s="12">
        <v>7.8725898586495369E-2</v>
      </c>
      <c r="C129" s="12">
        <v>0.11278299780640744</v>
      </c>
      <c r="D129" s="14">
        <v>0.81294757917778337</v>
      </c>
      <c r="E129" s="12">
        <v>0.91469241455117367</v>
      </c>
      <c r="F129" s="12">
        <v>0.42613196686168386</v>
      </c>
      <c r="G129" s="12">
        <v>0.91203995556083139</v>
      </c>
      <c r="H129" s="12">
        <v>0.41543092487448274</v>
      </c>
      <c r="I129" s="12">
        <v>0.27617981989576723</v>
      </c>
      <c r="J129" s="12">
        <v>1.1415794333071716E-3</v>
      </c>
      <c r="K129" s="12">
        <v>0.10141921742364612</v>
      </c>
      <c r="L129" s="14">
        <v>0.69715785798636998</v>
      </c>
      <c r="M129" s="12">
        <v>0.85980188053859874</v>
      </c>
      <c r="N129" s="12">
        <v>0.46658560558693374</v>
      </c>
      <c r="O129" s="12">
        <v>4.4760394436308637E-2</v>
      </c>
      <c r="P129" s="12">
        <v>0.37541154412522459</v>
      </c>
      <c r="Q129" s="12">
        <v>0.54053394215534656</v>
      </c>
    </row>
    <row r="130" spans="2:17" x14ac:dyDescent="0.3">
      <c r="B130" s="12">
        <v>0.34935500256929863</v>
      </c>
      <c r="C130" s="12">
        <v>0.70528515465818042</v>
      </c>
      <c r="D130" s="14">
        <v>0.65637573533056082</v>
      </c>
      <c r="E130" s="12">
        <v>0.70923923327290517</v>
      </c>
      <c r="F130" s="12">
        <v>4.3824188362367344E-2</v>
      </c>
      <c r="G130" s="12">
        <v>0.51837389257002542</v>
      </c>
      <c r="H130" s="12">
        <v>0.81670438357100839</v>
      </c>
      <c r="I130" s="12">
        <v>0.11362417296600391</v>
      </c>
      <c r="J130" s="12">
        <v>0.91821802714138934</v>
      </c>
      <c r="K130" s="12">
        <v>0.90254758374635191</v>
      </c>
      <c r="L130" s="14">
        <v>0.81608713213550677</v>
      </c>
      <c r="M130" s="12">
        <v>0.71532133233519524</v>
      </c>
      <c r="N130" s="12">
        <v>0.92709317859510798</v>
      </c>
      <c r="O130" s="12">
        <v>0.63392780534399495</v>
      </c>
      <c r="P130" s="12">
        <v>0.8978783980687961</v>
      </c>
      <c r="Q130" s="12">
        <v>0.94068151098225083</v>
      </c>
    </row>
  </sheetData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</sheetPr>
  <dimension ref="A2:E29"/>
  <sheetViews>
    <sheetView workbookViewId="0">
      <selection activeCell="H30" sqref="H30"/>
    </sheetView>
  </sheetViews>
  <sheetFormatPr defaultRowHeight="12.75" x14ac:dyDescent="0.2"/>
  <cols>
    <col min="1" max="2" width="9.140625" style="135"/>
    <col min="3" max="3" width="13" style="135" bestFit="1" customWidth="1"/>
    <col min="4" max="4" width="32.7109375" style="135" bestFit="1" customWidth="1"/>
    <col min="5" max="5" width="18.140625" style="135" customWidth="1"/>
    <col min="6" max="16384" width="9.140625" style="135"/>
  </cols>
  <sheetData>
    <row r="2" spans="1:5" ht="18" customHeight="1" x14ac:dyDescent="0.25">
      <c r="D2" s="154" t="s">
        <v>1159</v>
      </c>
      <c r="E2" s="153" t="s">
        <v>1158</v>
      </c>
    </row>
    <row r="3" spans="1:5" ht="18" customHeight="1" x14ac:dyDescent="0.2"/>
    <row r="4" spans="1:5" ht="18" customHeight="1" x14ac:dyDescent="0.25">
      <c r="C4" s="149" t="s">
        <v>209</v>
      </c>
    </row>
    <row r="5" spans="1:5" ht="18" customHeight="1" thickBot="1" x14ac:dyDescent="0.3">
      <c r="A5" s="152" t="s">
        <v>1157</v>
      </c>
      <c r="B5" s="152" t="s">
        <v>812</v>
      </c>
      <c r="C5" s="150" t="s">
        <v>216</v>
      </c>
      <c r="D5" s="151" t="s">
        <v>1156</v>
      </c>
      <c r="E5" s="141"/>
    </row>
    <row r="6" spans="1:5" ht="18" customHeight="1" x14ac:dyDescent="0.2">
      <c r="A6" s="146"/>
      <c r="B6" s="146"/>
      <c r="C6" s="146"/>
      <c r="D6" s="146"/>
      <c r="E6" s="146"/>
    </row>
    <row r="7" spans="1:5" ht="18" customHeight="1" x14ac:dyDescent="0.25">
      <c r="A7" s="146"/>
      <c r="B7" s="146"/>
      <c r="C7" s="149" t="s">
        <v>1155</v>
      </c>
      <c r="D7" s="146"/>
      <c r="E7" s="146"/>
    </row>
    <row r="8" spans="1:5" ht="18" customHeight="1" x14ac:dyDescent="0.25">
      <c r="A8" s="148">
        <v>45</v>
      </c>
      <c r="B8" s="148">
        <v>55</v>
      </c>
      <c r="C8" s="150" t="s">
        <v>1154</v>
      </c>
      <c r="D8" s="136" t="s">
        <v>1153</v>
      </c>
      <c r="E8" s="145"/>
    </row>
    <row r="9" spans="1:5" ht="18" customHeight="1" x14ac:dyDescent="0.25">
      <c r="A9" s="148">
        <v>100</v>
      </c>
      <c r="B9" s="148">
        <v>40</v>
      </c>
      <c r="C9" s="150" t="s">
        <v>1152</v>
      </c>
      <c r="D9" s="136" t="s">
        <v>1151</v>
      </c>
      <c r="E9" s="145"/>
    </row>
    <row r="10" spans="1:5" ht="18" customHeight="1" x14ac:dyDescent="0.25">
      <c r="A10" s="148">
        <v>20</v>
      </c>
      <c r="B10" s="148">
        <v>30</v>
      </c>
      <c r="C10" s="150" t="s">
        <v>1150</v>
      </c>
      <c r="D10" s="136" t="s">
        <v>1149</v>
      </c>
      <c r="E10" s="145"/>
    </row>
    <row r="11" spans="1:5" ht="18" customHeight="1" x14ac:dyDescent="0.25">
      <c r="A11" s="148">
        <v>50</v>
      </c>
      <c r="B11" s="148">
        <v>0</v>
      </c>
      <c r="C11" s="150" t="s">
        <v>1148</v>
      </c>
      <c r="D11" s="136" t="s">
        <v>1147</v>
      </c>
      <c r="E11" s="145"/>
    </row>
    <row r="12" spans="1:5" ht="18" customHeight="1" x14ac:dyDescent="0.25">
      <c r="A12" s="148">
        <v>2</v>
      </c>
      <c r="B12" s="148">
        <v>3</v>
      </c>
      <c r="C12" s="150" t="s">
        <v>1146</v>
      </c>
      <c r="D12" s="136" t="s">
        <v>1145</v>
      </c>
      <c r="E12" s="145"/>
    </row>
    <row r="13" spans="1:5" ht="18" customHeight="1" thickBot="1" x14ac:dyDescent="0.3">
      <c r="A13" s="144">
        <v>40</v>
      </c>
      <c r="B13" s="144">
        <v>60</v>
      </c>
      <c r="C13" s="150" t="s">
        <v>1144</v>
      </c>
      <c r="D13" s="142" t="s">
        <v>1143</v>
      </c>
      <c r="E13" s="141"/>
    </row>
    <row r="14" spans="1:5" ht="18" customHeight="1" x14ac:dyDescent="0.2">
      <c r="A14" s="146"/>
      <c r="B14" s="146"/>
      <c r="C14" s="147"/>
      <c r="D14" s="146"/>
      <c r="E14" s="146"/>
    </row>
    <row r="15" spans="1:5" ht="18" customHeight="1" x14ac:dyDescent="0.2">
      <c r="A15" s="146"/>
      <c r="B15" s="146"/>
      <c r="C15" s="147"/>
      <c r="D15" s="146"/>
      <c r="E15" s="146"/>
    </row>
    <row r="16" spans="1:5" ht="18" customHeight="1" x14ac:dyDescent="0.25">
      <c r="A16" s="146"/>
      <c r="B16" s="146"/>
      <c r="C16" s="149" t="s">
        <v>1142</v>
      </c>
      <c r="D16" s="146"/>
      <c r="E16" s="146"/>
    </row>
    <row r="17" spans="1:5" ht="18" customHeight="1" x14ac:dyDescent="0.25">
      <c r="A17" s="148">
        <v>65</v>
      </c>
      <c r="B17" s="148">
        <v>44</v>
      </c>
      <c r="C17" s="147"/>
      <c r="D17" s="146" t="s">
        <v>1141</v>
      </c>
      <c r="E17" s="145"/>
    </row>
    <row r="18" spans="1:5" ht="18" customHeight="1" x14ac:dyDescent="0.25">
      <c r="A18" s="148">
        <v>44</v>
      </c>
      <c r="B18" s="148">
        <v>44</v>
      </c>
      <c r="C18" s="147"/>
      <c r="D18" s="146" t="s">
        <v>1140</v>
      </c>
      <c r="E18" s="145"/>
    </row>
    <row r="19" spans="1:5" ht="18" customHeight="1" thickBot="1" x14ac:dyDescent="0.3">
      <c r="A19" s="144" t="s">
        <v>1139</v>
      </c>
      <c r="B19" s="144" t="s">
        <v>1138</v>
      </c>
      <c r="C19" s="143"/>
      <c r="D19" s="142" t="s">
        <v>1137</v>
      </c>
      <c r="E19" s="141"/>
    </row>
    <row r="22" spans="1:5" ht="13.5" thickBot="1" x14ac:dyDescent="0.25"/>
    <row r="23" spans="1:5" ht="16.5" thickBot="1" x14ac:dyDescent="0.3">
      <c r="A23" s="140" t="s">
        <v>1136</v>
      </c>
      <c r="B23" s="139"/>
      <c r="C23" s="139"/>
      <c r="D23" s="139"/>
      <c r="E23" s="138"/>
    </row>
    <row r="25" spans="1:5" ht="15.75" x14ac:dyDescent="0.25">
      <c r="A25" s="136" t="s">
        <v>1135</v>
      </c>
      <c r="B25" s="136">
        <v>45</v>
      </c>
      <c r="C25" s="136"/>
      <c r="D25" s="136" t="s">
        <v>1134</v>
      </c>
      <c r="E25" s="137"/>
    </row>
    <row r="26" spans="1:5" ht="15.75" x14ac:dyDescent="0.25">
      <c r="A26" s="136" t="s">
        <v>1133</v>
      </c>
      <c r="B26" s="136">
        <v>55</v>
      </c>
      <c r="C26" s="136"/>
      <c r="D26" s="136" t="s">
        <v>1132</v>
      </c>
      <c r="E26" s="137"/>
    </row>
    <row r="27" spans="1:5" ht="15.75" x14ac:dyDescent="0.25">
      <c r="A27" s="136" t="s">
        <v>1131</v>
      </c>
      <c r="B27" s="136">
        <v>22</v>
      </c>
      <c r="C27" s="136"/>
      <c r="D27" s="136" t="s">
        <v>1130</v>
      </c>
      <c r="E27" s="136"/>
    </row>
    <row r="28" spans="1:5" ht="15.75" x14ac:dyDescent="0.25">
      <c r="A28" s="136" t="s">
        <v>1129</v>
      </c>
      <c r="B28" s="136">
        <v>33</v>
      </c>
      <c r="C28" s="136"/>
      <c r="D28" s="136" t="s">
        <v>1128</v>
      </c>
      <c r="E28" s="136"/>
    </row>
    <row r="29" spans="1:5" ht="15.75" x14ac:dyDescent="0.25">
      <c r="A29" s="136" t="s">
        <v>1127</v>
      </c>
      <c r="B29" s="136">
        <v>11</v>
      </c>
      <c r="C29" s="136"/>
      <c r="D29" s="136"/>
      <c r="E29" s="136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 tint="0.39997558519241921"/>
  </sheetPr>
  <dimension ref="A1:H24"/>
  <sheetViews>
    <sheetView showGridLines="0" workbookViewId="0">
      <selection activeCell="G34" sqref="G34"/>
    </sheetView>
  </sheetViews>
  <sheetFormatPr defaultRowHeight="15" x14ac:dyDescent="0.3"/>
  <sheetData>
    <row r="1" spans="1:8" ht="21.75" x14ac:dyDescent="0.45">
      <c r="A1" s="78" t="s">
        <v>314</v>
      </c>
    </row>
    <row r="2" spans="1:8" x14ac:dyDescent="0.3">
      <c r="A2" s="5"/>
    </row>
    <row r="3" spans="1:8" x14ac:dyDescent="0.3">
      <c r="A3" s="5"/>
    </row>
    <row r="4" spans="1:8" x14ac:dyDescent="0.3">
      <c r="B4" t="s">
        <v>146</v>
      </c>
    </row>
    <row r="5" spans="1:8" x14ac:dyDescent="0.3">
      <c r="B5" s="108" t="s">
        <v>147</v>
      </c>
    </row>
    <row r="6" spans="1:8" x14ac:dyDescent="0.3">
      <c r="B6" t="s">
        <v>148</v>
      </c>
    </row>
    <row r="7" spans="1:8" x14ac:dyDescent="0.3">
      <c r="B7" t="s">
        <v>149</v>
      </c>
    </row>
    <row r="9" spans="1:8" x14ac:dyDescent="0.3">
      <c r="C9" s="5" t="s">
        <v>150</v>
      </c>
      <c r="E9" s="5" t="s">
        <v>151</v>
      </c>
      <c r="F9" s="5" t="s">
        <v>152</v>
      </c>
    </row>
    <row r="10" spans="1:8" x14ac:dyDescent="0.3">
      <c r="C10">
        <v>1</v>
      </c>
      <c r="E10" s="15" t="s">
        <v>153</v>
      </c>
      <c r="F10" s="109">
        <f>C10</f>
        <v>1</v>
      </c>
      <c r="H10" t="s">
        <v>154</v>
      </c>
    </row>
    <row r="11" spans="1:8" x14ac:dyDescent="0.3">
      <c r="C11">
        <v>2</v>
      </c>
      <c r="E11" s="15"/>
      <c r="F11">
        <f>C11</f>
        <v>2</v>
      </c>
      <c r="H11" t="s">
        <v>155</v>
      </c>
    </row>
    <row r="12" spans="1:8" x14ac:dyDescent="0.3">
      <c r="C12">
        <v>3</v>
      </c>
      <c r="E12" s="15"/>
      <c r="F12">
        <f>C12</f>
        <v>3</v>
      </c>
    </row>
    <row r="13" spans="1:8" x14ac:dyDescent="0.3">
      <c r="C13">
        <v>4</v>
      </c>
      <c r="F13">
        <f>C13</f>
        <v>4</v>
      </c>
    </row>
    <row r="14" spans="1:8" x14ac:dyDescent="0.3">
      <c r="C14">
        <v>5</v>
      </c>
      <c r="F14">
        <f>C14</f>
        <v>5</v>
      </c>
    </row>
    <row r="16" spans="1:8" x14ac:dyDescent="0.3">
      <c r="C16" s="5" t="s">
        <v>156</v>
      </c>
      <c r="E16" s="5" t="s">
        <v>151</v>
      </c>
      <c r="F16" s="5" t="s">
        <v>152</v>
      </c>
    </row>
    <row r="17" spans="2:8" x14ac:dyDescent="0.3">
      <c r="C17">
        <v>1</v>
      </c>
      <c r="E17" s="15" t="s">
        <v>157</v>
      </c>
      <c r="F17" s="109">
        <f>$C$10</f>
        <v>1</v>
      </c>
    </row>
    <row r="18" spans="2:8" x14ac:dyDescent="0.3">
      <c r="C18">
        <v>2</v>
      </c>
      <c r="F18">
        <f t="shared" ref="F18:F21" si="0">$C$10</f>
        <v>1</v>
      </c>
      <c r="H18" t="s">
        <v>158</v>
      </c>
    </row>
    <row r="19" spans="2:8" x14ac:dyDescent="0.3">
      <c r="C19">
        <v>3</v>
      </c>
      <c r="F19">
        <f t="shared" si="0"/>
        <v>1</v>
      </c>
    </row>
    <row r="20" spans="2:8" x14ac:dyDescent="0.3">
      <c r="C20">
        <v>4</v>
      </c>
      <c r="F20">
        <f t="shared" si="0"/>
        <v>1</v>
      </c>
    </row>
    <row r="21" spans="2:8" x14ac:dyDescent="0.3">
      <c r="C21">
        <v>5</v>
      </c>
      <c r="F21">
        <f t="shared" si="0"/>
        <v>1</v>
      </c>
    </row>
    <row r="24" spans="2:8" x14ac:dyDescent="0.3">
      <c r="B24" t="s">
        <v>159</v>
      </c>
    </row>
  </sheetData>
  <phoneticPr fontId="5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50" baseType="lpstr">
      <vt:lpstr>Keyboard Shortcuts 2 (PC)</vt:lpstr>
      <vt:lpstr>KeyboardShortcuts (Mac)</vt:lpstr>
      <vt:lpstr>Keyboard Exercise 1</vt:lpstr>
      <vt:lpstr>Keyboard Exercise 2</vt:lpstr>
      <vt:lpstr>Keyboard Exercise 3</vt:lpstr>
      <vt:lpstr>Keyboard Exercise 4</vt:lpstr>
      <vt:lpstr>Keyboard Exercise 5</vt:lpstr>
      <vt:lpstr>BASIC FORMULAS</vt:lpstr>
      <vt:lpstr>Absolute vs Relative References</vt:lpstr>
      <vt:lpstr>Validation</vt:lpstr>
      <vt:lpstr>Auditing</vt:lpstr>
      <vt:lpstr>FUNCTION EXAMPLES</vt:lpstr>
      <vt:lpstr>Date and Time Basics</vt:lpstr>
      <vt:lpstr>Functions 1</vt:lpstr>
      <vt:lpstr>Functions 2</vt:lpstr>
      <vt:lpstr>Text Functions 1</vt:lpstr>
      <vt:lpstr>Text Functions 2</vt:lpstr>
      <vt:lpstr>Text Function Exercises 1</vt:lpstr>
      <vt:lpstr>Text Function Exercises 2</vt:lpstr>
      <vt:lpstr>Vlookup 1</vt:lpstr>
      <vt:lpstr>Vlookup Exercises 1</vt:lpstr>
      <vt:lpstr>Vlookup Exercises 2</vt:lpstr>
      <vt:lpstr>Vlookup Exercises 3</vt:lpstr>
      <vt:lpstr>Information</vt:lpstr>
      <vt:lpstr>Database</vt:lpstr>
      <vt:lpstr>Data Filters</vt:lpstr>
      <vt:lpstr>Data Filters Exercises 2</vt:lpstr>
      <vt:lpstr>Overview</vt:lpstr>
      <vt:lpstr>Database (2)</vt:lpstr>
      <vt:lpstr>Formatting</vt:lpstr>
      <vt:lpstr>Conditional Format</vt:lpstr>
      <vt:lpstr>CondFormat Example 1</vt:lpstr>
      <vt:lpstr>CondFormat Example 2</vt:lpstr>
      <vt:lpstr>CondFormat Example 4</vt:lpstr>
      <vt:lpstr>CondFormat Exercise 1</vt:lpstr>
      <vt:lpstr>DISTORTIONS</vt:lpstr>
      <vt:lpstr>Sheet1</vt:lpstr>
      <vt:lpstr>Charts Without Graphs</vt:lpstr>
      <vt:lpstr>In-cell graphics</vt:lpstr>
      <vt:lpstr>Chart Exercises 1</vt:lpstr>
      <vt:lpstr>Charts Exercises 2</vt:lpstr>
      <vt:lpstr>Charts Exercises 3</vt:lpstr>
      <vt:lpstr>Charts Exercises 4</vt:lpstr>
      <vt:lpstr>Diagram</vt:lpstr>
      <vt:lpstr>Waterfall</vt:lpstr>
      <vt:lpstr>'FUNCTION EXAMPLES'!Print_Area</vt:lpstr>
      <vt:lpstr>'Text Functions 1'!Print_Area</vt:lpstr>
      <vt:lpstr>'FUNCTION EXAMPLES'!Print_Titles</vt:lpstr>
      <vt:lpstr>'Date and Time Basics'!section2</vt:lpstr>
      <vt:lpstr>'Date and Time Basics'!section3</vt:lpstr>
    </vt:vector>
  </TitlesOfParts>
  <Company>Juice Analytics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Gemignani</dc:creator>
  <cp:lastModifiedBy>Dale Roenigk</cp:lastModifiedBy>
  <cp:lastPrinted>2006-10-11T21:24:20Z</cp:lastPrinted>
  <dcterms:created xsi:type="dcterms:W3CDTF">2005-07-18T17:42:27Z</dcterms:created>
  <dcterms:modified xsi:type="dcterms:W3CDTF">2018-08-22T21:24:16Z</dcterms:modified>
</cp:coreProperties>
</file>