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hidePivotFieldList="1"/>
  <mc:AlternateContent xmlns:mc="http://schemas.openxmlformats.org/markup-compatibility/2006">
    <mc:Choice Requires="x15">
      <x15ac:absPath xmlns:x15ac="http://schemas.microsoft.com/office/spreadsheetml/2010/11/ac" url="Z:\Chris Herb 1\Legislative Notes\2021\"/>
    </mc:Choice>
  </mc:AlternateContent>
  <xr:revisionPtr revIDLastSave="0" documentId="13_ncr:1_{9A488278-46B5-4B5F-9200-9DD3FC319C2F}" xr6:coauthVersionLast="36" xr6:coauthVersionMax="36" xr10:uidLastSave="{00000000-0000-0000-0000-000000000000}"/>
  <bookViews>
    <workbookView xWindow="0" yWindow="0" windowWidth="28800" windowHeight="11625" tabRatio="500" activeTab="1" xr2:uid="{00000000-000D-0000-FFFF-FFFF00000000}"/>
  </bookViews>
  <sheets>
    <sheet name="Regional Total" sheetId="4" r:id="rId1"/>
    <sheet name="Connecticut" sheetId="1" r:id="rId2"/>
    <sheet name="Massachusetts" sheetId="2" r:id="rId3"/>
    <sheet name="Rhode Island" sheetId="3" r:id="rId4"/>
    <sheet name="DC" sheetId="5" r:id="rId5"/>
    <sheet name="Backup" sheetId="6" r:id="rId6"/>
  </sheet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2" l="1"/>
  <c r="D26" i="2"/>
  <c r="D27" i="2" s="1"/>
  <c r="D28" i="2" s="1"/>
  <c r="D29" i="2" s="1"/>
  <c r="D30" i="2" s="1"/>
  <c r="D31" i="2" s="1"/>
  <c r="D32" i="2" s="1"/>
  <c r="D33" i="2" s="1"/>
  <c r="D34" i="2" s="1"/>
  <c r="D25" i="2"/>
  <c r="C25" i="2"/>
  <c r="B25" i="2"/>
  <c r="I25" i="2" l="1"/>
  <c r="E25" i="2"/>
  <c r="F25" i="2" s="1"/>
  <c r="B23" i="3"/>
  <c r="H23" i="3" s="1"/>
  <c r="I23" i="3" s="1"/>
  <c r="D23" i="3"/>
  <c r="D24" i="3" s="1"/>
  <c r="D25" i="3" s="1"/>
  <c r="D26" i="3" s="1"/>
  <c r="D27" i="3" s="1"/>
  <c r="D28" i="3" s="1"/>
  <c r="D29" i="3" s="1"/>
  <c r="D30" i="3" s="1"/>
  <c r="D31" i="3" s="1"/>
  <c r="D32" i="3" s="1"/>
  <c r="J25" i="2" l="1"/>
  <c r="D33" i="3"/>
  <c r="D46" i="1"/>
  <c r="E46" i="1" s="1"/>
  <c r="D37" i="1"/>
  <c r="E37" i="1" s="1"/>
  <c r="C38" i="1"/>
  <c r="C39" i="1"/>
  <c r="C40" i="1"/>
  <c r="C41" i="1"/>
  <c r="D41" i="1" s="1"/>
  <c r="E41" i="1" s="1"/>
  <c r="C42" i="1"/>
  <c r="C43" i="1"/>
  <c r="C44" i="1"/>
  <c r="C45" i="1"/>
  <c r="C46" i="1"/>
  <c r="C37" i="1"/>
  <c r="K17" i="6"/>
  <c r="K18" i="6"/>
  <c r="K19" i="6"/>
  <c r="K20" i="6"/>
  <c r="K21" i="6"/>
  <c r="K22" i="6"/>
  <c r="K23" i="6"/>
  <c r="K24" i="6"/>
  <c r="K25" i="6"/>
  <c r="K16" i="6"/>
  <c r="B38" i="1"/>
  <c r="B39" i="1" s="1"/>
  <c r="B40" i="1" s="1"/>
  <c r="B41" i="1" s="1"/>
  <c r="B42" i="1" s="1"/>
  <c r="B43" i="1" s="1"/>
  <c r="B44" i="1" s="1"/>
  <c r="B45" i="1" s="1"/>
  <c r="B46" i="1" s="1"/>
  <c r="G61" i="6"/>
  <c r="F61" i="6"/>
  <c r="G60" i="6"/>
  <c r="F60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G51" i="6"/>
  <c r="F51" i="6"/>
  <c r="H22" i="1"/>
  <c r="H23" i="1" s="1"/>
  <c r="H24" i="1" s="1"/>
  <c r="H25" i="1" s="1"/>
  <c r="H26" i="1" s="1"/>
  <c r="G22" i="1"/>
  <c r="G23" i="1" s="1"/>
  <c r="D26" i="1"/>
  <c r="F26" i="1" s="1"/>
  <c r="D22" i="1"/>
  <c r="F22" i="1" s="1"/>
  <c r="C24" i="1"/>
  <c r="E24" i="1" s="1"/>
  <c r="C28" i="1"/>
  <c r="E28" i="1" s="1"/>
  <c r="C22" i="1"/>
  <c r="E22" i="1" s="1"/>
  <c r="B23" i="1"/>
  <c r="B24" i="1" s="1"/>
  <c r="B25" i="1" s="1"/>
  <c r="B26" i="1" s="1"/>
  <c r="B27" i="1" s="1"/>
  <c r="B28" i="1" s="1"/>
  <c r="B29" i="1" s="1"/>
  <c r="B30" i="1" s="1"/>
  <c r="B31" i="1" s="1"/>
  <c r="C31" i="1" s="1"/>
  <c r="E31" i="1" s="1"/>
  <c r="C12" i="6"/>
  <c r="B12" i="6"/>
  <c r="J22" i="1" l="1"/>
  <c r="M22" i="1" s="1"/>
  <c r="D40" i="1"/>
  <c r="E40" i="1" s="1"/>
  <c r="C23" i="1"/>
  <c r="E23" i="1" s="1"/>
  <c r="I23" i="1" s="1"/>
  <c r="L23" i="1" s="1"/>
  <c r="C30" i="1"/>
  <c r="E30" i="1" s="1"/>
  <c r="D28" i="1"/>
  <c r="F28" i="1" s="1"/>
  <c r="C29" i="1"/>
  <c r="E29" i="1" s="1"/>
  <c r="D27" i="1"/>
  <c r="F27" i="1" s="1"/>
  <c r="D44" i="1"/>
  <c r="E44" i="1" s="1"/>
  <c r="D38" i="1"/>
  <c r="E38" i="1" s="1"/>
  <c r="D45" i="1"/>
  <c r="E45" i="1" s="1"/>
  <c r="D39" i="1"/>
  <c r="E39" i="1" s="1"/>
  <c r="C27" i="1"/>
  <c r="E27" i="1" s="1"/>
  <c r="D31" i="1"/>
  <c r="F31" i="1" s="1"/>
  <c r="D25" i="1"/>
  <c r="F25" i="1" s="1"/>
  <c r="J25" i="1" s="1"/>
  <c r="M25" i="1" s="1"/>
  <c r="D43" i="1"/>
  <c r="E43" i="1" s="1"/>
  <c r="I22" i="1"/>
  <c r="C26" i="1"/>
  <c r="E26" i="1" s="1"/>
  <c r="D30" i="1"/>
  <c r="F30" i="1" s="1"/>
  <c r="D24" i="1"/>
  <c r="F24" i="1" s="1"/>
  <c r="J24" i="1" s="1"/>
  <c r="C25" i="1"/>
  <c r="E25" i="1" s="1"/>
  <c r="D29" i="1"/>
  <c r="F29" i="1" s="1"/>
  <c r="J29" i="1" s="1"/>
  <c r="M29" i="1" s="1"/>
  <c r="D23" i="1"/>
  <c r="F23" i="1" s="1"/>
  <c r="D42" i="1"/>
  <c r="E42" i="1" s="1"/>
  <c r="H27" i="1"/>
  <c r="H28" i="1" s="1"/>
  <c r="H29" i="1" s="1"/>
  <c r="H30" i="1" s="1"/>
  <c r="J26" i="1"/>
  <c r="M26" i="1" s="1"/>
  <c r="J23" i="1"/>
  <c r="M23" i="1" s="1"/>
  <c r="K22" i="1"/>
  <c r="G24" i="1"/>
  <c r="F43" i="6"/>
  <c r="C3" i="4"/>
  <c r="D3" i="4" s="1"/>
  <c r="L2" i="4"/>
  <c r="B2" i="4" s="1"/>
  <c r="M12" i="4"/>
  <c r="M11" i="4"/>
  <c r="M10" i="4"/>
  <c r="M9" i="4"/>
  <c r="M8" i="4"/>
  <c r="M7" i="4"/>
  <c r="M6" i="4"/>
  <c r="M5" i="4"/>
  <c r="M4" i="4"/>
  <c r="H3" i="4"/>
  <c r="I3" i="4" s="1"/>
  <c r="K2" i="5"/>
  <c r="K3" i="5" s="1"/>
  <c r="C17" i="5"/>
  <c r="C12" i="5" s="1"/>
  <c r="L12" i="5"/>
  <c r="L11" i="5"/>
  <c r="L10" i="5"/>
  <c r="L9" i="5"/>
  <c r="L8" i="5"/>
  <c r="L7" i="5"/>
  <c r="L6" i="5"/>
  <c r="L5" i="5"/>
  <c r="L4" i="5"/>
  <c r="D3" i="5"/>
  <c r="K2" i="3"/>
  <c r="K3" i="3" s="1"/>
  <c r="C17" i="3"/>
  <c r="C12" i="3" s="1"/>
  <c r="B32" i="3" s="1"/>
  <c r="H32" i="3" s="1"/>
  <c r="I32" i="3" s="1"/>
  <c r="L12" i="3"/>
  <c r="L11" i="3"/>
  <c r="L10" i="3"/>
  <c r="L9" i="3"/>
  <c r="L8" i="3"/>
  <c r="L7" i="3"/>
  <c r="L6" i="3"/>
  <c r="L5" i="3"/>
  <c r="L4" i="3"/>
  <c r="G3" i="3"/>
  <c r="H3" i="3" s="1"/>
  <c r="D3" i="3"/>
  <c r="B2" i="2"/>
  <c r="K2" i="2"/>
  <c r="K3" i="2" s="1"/>
  <c r="C17" i="2"/>
  <c r="C12" i="2" s="1"/>
  <c r="B34" i="2" s="1"/>
  <c r="L12" i="2"/>
  <c r="L11" i="2"/>
  <c r="L10" i="2"/>
  <c r="L9" i="2"/>
  <c r="L8" i="2"/>
  <c r="L7" i="2"/>
  <c r="L6" i="2"/>
  <c r="L5" i="2"/>
  <c r="L4" i="2"/>
  <c r="D3" i="2"/>
  <c r="B2" i="1"/>
  <c r="L5" i="1"/>
  <c r="L6" i="1"/>
  <c r="L7" i="1"/>
  <c r="L8" i="1"/>
  <c r="L9" i="1"/>
  <c r="L10" i="1"/>
  <c r="L11" i="1"/>
  <c r="L12" i="1"/>
  <c r="L4" i="1"/>
  <c r="K2" i="1"/>
  <c r="K3" i="1" s="1"/>
  <c r="C40" i="6"/>
  <c r="B40" i="6"/>
  <c r="C30" i="6"/>
  <c r="B30" i="6"/>
  <c r="C39" i="6"/>
  <c r="B39" i="6"/>
  <c r="B41" i="6" s="1"/>
  <c r="D38" i="6"/>
  <c r="D39" i="6" s="1"/>
  <c r="C31" i="6"/>
  <c r="C34" i="6" s="1"/>
  <c r="C29" i="6"/>
  <c r="B29" i="6"/>
  <c r="D28" i="6"/>
  <c r="D29" i="6" s="1"/>
  <c r="C20" i="6"/>
  <c r="B20" i="6"/>
  <c r="C19" i="6"/>
  <c r="B19" i="6"/>
  <c r="D18" i="6"/>
  <c r="D19" i="6" s="1"/>
  <c r="E61" i="6"/>
  <c r="E60" i="6"/>
  <c r="E52" i="6"/>
  <c r="E53" i="6"/>
  <c r="E54" i="6"/>
  <c r="E55" i="6"/>
  <c r="E56" i="6"/>
  <c r="E57" i="6"/>
  <c r="E58" i="6"/>
  <c r="E59" i="6"/>
  <c r="E51" i="6"/>
  <c r="D51" i="6"/>
  <c r="D52" i="6"/>
  <c r="D53" i="6"/>
  <c r="D54" i="6"/>
  <c r="D55" i="6"/>
  <c r="D56" i="6"/>
  <c r="D57" i="6"/>
  <c r="D58" i="6"/>
  <c r="D59" i="6"/>
  <c r="D50" i="6"/>
  <c r="C10" i="6"/>
  <c r="C11" i="6" s="1"/>
  <c r="C14" i="6" s="1"/>
  <c r="B10" i="6"/>
  <c r="B11" i="6" s="1"/>
  <c r="B14" i="6" s="1"/>
  <c r="H12" i="6"/>
  <c r="I11" i="6"/>
  <c r="H11" i="6"/>
  <c r="C9" i="6"/>
  <c r="D9" i="6"/>
  <c r="B9" i="6"/>
  <c r="D8" i="6"/>
  <c r="C17" i="1"/>
  <c r="C34" i="2" l="1"/>
  <c r="C35" i="2" s="1"/>
  <c r="H34" i="2"/>
  <c r="I34" i="2" s="1"/>
  <c r="J28" i="1"/>
  <c r="M28" i="1" s="1"/>
  <c r="E48" i="1"/>
  <c r="M24" i="1"/>
  <c r="D48" i="1"/>
  <c r="L22" i="1"/>
  <c r="N22" i="1" s="1"/>
  <c r="F37" i="1" s="1"/>
  <c r="G25" i="1"/>
  <c r="I24" i="1"/>
  <c r="L24" i="1" s="1"/>
  <c r="B2" i="3"/>
  <c r="K23" i="1"/>
  <c r="H31" i="1"/>
  <c r="J30" i="1"/>
  <c r="M30" i="1" s="1"/>
  <c r="J27" i="1"/>
  <c r="M27" i="1" s="1"/>
  <c r="K4" i="1"/>
  <c r="B3" i="1"/>
  <c r="C17" i="4"/>
  <c r="C12" i="4" s="1"/>
  <c r="C18" i="4" s="1"/>
  <c r="C4" i="4" s="1"/>
  <c r="L3" i="4"/>
  <c r="B3" i="4" s="1"/>
  <c r="E3" i="4" s="1"/>
  <c r="B3" i="5"/>
  <c r="E3" i="5" s="1"/>
  <c r="F3" i="5" s="1"/>
  <c r="G3" i="5" s="1"/>
  <c r="H3" i="5" s="1"/>
  <c r="K4" i="5"/>
  <c r="C14" i="5"/>
  <c r="D12" i="5"/>
  <c r="C18" i="5"/>
  <c r="C4" i="5" s="1"/>
  <c r="B2" i="5"/>
  <c r="B3" i="3"/>
  <c r="K4" i="3"/>
  <c r="C14" i="3"/>
  <c r="D12" i="3"/>
  <c r="C18" i="3"/>
  <c r="C4" i="3" s="1"/>
  <c r="B24" i="3" s="1"/>
  <c r="H24" i="3" s="1"/>
  <c r="I24" i="3" s="1"/>
  <c r="K4" i="2"/>
  <c r="B3" i="2"/>
  <c r="E3" i="2" s="1"/>
  <c r="G3" i="2" s="1"/>
  <c r="H3" i="2" s="1"/>
  <c r="C41" i="6"/>
  <c r="C44" i="6" s="1"/>
  <c r="B31" i="6"/>
  <c r="B34" i="6" s="1"/>
  <c r="D34" i="6" s="1"/>
  <c r="B44" i="6"/>
  <c r="C21" i="6"/>
  <c r="C24" i="6" s="1"/>
  <c r="B21" i="6"/>
  <c r="D14" i="6"/>
  <c r="D11" i="6"/>
  <c r="D12" i="6" s="1"/>
  <c r="E3" i="3" l="1"/>
  <c r="H32" i="1"/>
  <c r="J31" i="1"/>
  <c r="M31" i="1" s="1"/>
  <c r="M33" i="1" s="1"/>
  <c r="N23" i="1"/>
  <c r="F38" i="1" s="1"/>
  <c r="K24" i="1"/>
  <c r="N24" i="1" s="1"/>
  <c r="F39" i="1" s="1"/>
  <c r="G26" i="1"/>
  <c r="I25" i="1"/>
  <c r="L4" i="4"/>
  <c r="B4" i="4" s="1"/>
  <c r="K5" i="1"/>
  <c r="B4" i="1"/>
  <c r="C14" i="4"/>
  <c r="D12" i="4"/>
  <c r="C5" i="4"/>
  <c r="D4" i="4"/>
  <c r="L5" i="4"/>
  <c r="K5" i="5"/>
  <c r="B4" i="5"/>
  <c r="C5" i="5"/>
  <c r="D4" i="5"/>
  <c r="B4" i="3"/>
  <c r="C24" i="3" s="1"/>
  <c r="E24" i="3" s="1"/>
  <c r="F24" i="3" s="1"/>
  <c r="J24" i="3" s="1"/>
  <c r="K5" i="3"/>
  <c r="D4" i="3"/>
  <c r="C5" i="3"/>
  <c r="B25" i="3" s="1"/>
  <c r="H25" i="3" s="1"/>
  <c r="I25" i="3" s="1"/>
  <c r="K5" i="2"/>
  <c r="B4" i="2"/>
  <c r="D41" i="6"/>
  <c r="D42" i="6" s="1"/>
  <c r="D44" i="6"/>
  <c r="D31" i="6"/>
  <c r="D32" i="6" s="1"/>
  <c r="D21" i="6"/>
  <c r="D22" i="6" s="1"/>
  <c r="B24" i="6"/>
  <c r="D24" i="6" s="1"/>
  <c r="L25" i="1" l="1"/>
  <c r="J32" i="1"/>
  <c r="C23" i="3"/>
  <c r="E23" i="3" s="1"/>
  <c r="F23" i="3" s="1"/>
  <c r="G27" i="1"/>
  <c r="I26" i="1"/>
  <c r="L26" i="1" s="1"/>
  <c r="K25" i="1"/>
  <c r="N25" i="1" s="1"/>
  <c r="F40" i="1" s="1"/>
  <c r="K6" i="1"/>
  <c r="B5" i="1"/>
  <c r="D5" i="4"/>
  <c r="C6" i="4"/>
  <c r="E4" i="4"/>
  <c r="H4" i="4" s="1"/>
  <c r="I4" i="4" s="1"/>
  <c r="L6" i="4"/>
  <c r="B5" i="4"/>
  <c r="E4" i="5"/>
  <c r="F4" i="5" s="1"/>
  <c r="K6" i="5"/>
  <c r="B5" i="5"/>
  <c r="C6" i="5"/>
  <c r="D5" i="5"/>
  <c r="C6" i="3"/>
  <c r="B26" i="3" s="1"/>
  <c r="H26" i="3" s="1"/>
  <c r="I26" i="3" s="1"/>
  <c r="D5" i="3"/>
  <c r="K6" i="3"/>
  <c r="B5" i="3"/>
  <c r="C25" i="3" s="1"/>
  <c r="E25" i="3" s="1"/>
  <c r="F25" i="3" s="1"/>
  <c r="J25" i="3" s="1"/>
  <c r="E4" i="3"/>
  <c r="F4" i="3" s="1"/>
  <c r="G4" i="3" s="1"/>
  <c r="H4" i="3" s="1"/>
  <c r="K6" i="2"/>
  <c r="B5" i="2"/>
  <c r="J23" i="3" l="1"/>
  <c r="G28" i="1"/>
  <c r="I27" i="1"/>
  <c r="K26" i="1"/>
  <c r="N26" i="1" s="1"/>
  <c r="F41" i="1" s="1"/>
  <c r="G4" i="5"/>
  <c r="H4" i="5" s="1"/>
  <c r="E5" i="3"/>
  <c r="F5" i="3" s="1"/>
  <c r="K7" i="1"/>
  <c r="B6" i="1"/>
  <c r="E5" i="4"/>
  <c r="D6" i="4"/>
  <c r="C7" i="4"/>
  <c r="L7" i="4"/>
  <c r="B6" i="4"/>
  <c r="E5" i="5"/>
  <c r="F5" i="5" s="1"/>
  <c r="K7" i="5"/>
  <c r="B6" i="5"/>
  <c r="D6" i="5"/>
  <c r="C7" i="5"/>
  <c r="C7" i="3"/>
  <c r="B27" i="3" s="1"/>
  <c r="H27" i="3" s="1"/>
  <c r="I27" i="3" s="1"/>
  <c r="D6" i="3"/>
  <c r="K7" i="3"/>
  <c r="B6" i="3"/>
  <c r="C26" i="3" s="1"/>
  <c r="E26" i="3" s="1"/>
  <c r="F26" i="3" s="1"/>
  <c r="K7" i="2"/>
  <c r="B6" i="2"/>
  <c r="C4" i="1"/>
  <c r="J26" i="3" l="1"/>
  <c r="L27" i="1"/>
  <c r="G29" i="1"/>
  <c r="I28" i="1"/>
  <c r="L28" i="1" s="1"/>
  <c r="E6" i="5"/>
  <c r="F6" i="5" s="1"/>
  <c r="K27" i="1"/>
  <c r="G6" i="5"/>
  <c r="H6" i="5" s="1"/>
  <c r="G5" i="5"/>
  <c r="H5" i="5" s="1"/>
  <c r="G5" i="3"/>
  <c r="H5" i="3" s="1"/>
  <c r="E6" i="3"/>
  <c r="F6" i="3" s="1"/>
  <c r="C5" i="1"/>
  <c r="D5" i="1" s="1"/>
  <c r="G5" i="4"/>
  <c r="H5" i="4" s="1"/>
  <c r="I5" i="4" s="1"/>
  <c r="F5" i="4"/>
  <c r="K8" i="1"/>
  <c r="B7" i="1"/>
  <c r="E6" i="4"/>
  <c r="C8" i="4"/>
  <c r="D7" i="4"/>
  <c r="L8" i="4"/>
  <c r="B7" i="4"/>
  <c r="K8" i="5"/>
  <c r="B7" i="5"/>
  <c r="C8" i="5"/>
  <c r="D7" i="5"/>
  <c r="D7" i="3"/>
  <c r="C8" i="3"/>
  <c r="B28" i="3" s="1"/>
  <c r="H28" i="3" s="1"/>
  <c r="I28" i="3" s="1"/>
  <c r="K8" i="3"/>
  <c r="B7" i="3"/>
  <c r="C27" i="3" s="1"/>
  <c r="E27" i="3" s="1"/>
  <c r="F27" i="3" s="1"/>
  <c r="J27" i="3" s="1"/>
  <c r="K8" i="2"/>
  <c r="B7" i="2"/>
  <c r="D4" i="1"/>
  <c r="E4" i="1" s="1"/>
  <c r="D3" i="1"/>
  <c r="E3" i="1" s="1"/>
  <c r="N27" i="1" l="1"/>
  <c r="F42" i="1" s="1"/>
  <c r="K28" i="1"/>
  <c r="N28" i="1" s="1"/>
  <c r="F43" i="1" s="1"/>
  <c r="G30" i="1"/>
  <c r="I29" i="1"/>
  <c r="L29" i="1" s="1"/>
  <c r="G6" i="3"/>
  <c r="H6" i="3" s="1"/>
  <c r="K9" i="1"/>
  <c r="B8" i="1"/>
  <c r="G6" i="4"/>
  <c r="H6" i="4" s="1"/>
  <c r="I6" i="4" s="1"/>
  <c r="F6" i="4"/>
  <c r="C6" i="1"/>
  <c r="E7" i="4"/>
  <c r="C9" i="4"/>
  <c r="D8" i="4"/>
  <c r="L9" i="4"/>
  <c r="B8" i="4"/>
  <c r="K9" i="5"/>
  <c r="B8" i="5"/>
  <c r="E7" i="5"/>
  <c r="F7" i="5" s="1"/>
  <c r="C9" i="5"/>
  <c r="D8" i="5"/>
  <c r="E7" i="3"/>
  <c r="F7" i="3" s="1"/>
  <c r="C9" i="3"/>
  <c r="B29" i="3" s="1"/>
  <c r="H29" i="3" s="1"/>
  <c r="I29" i="3" s="1"/>
  <c r="D8" i="3"/>
  <c r="B8" i="3"/>
  <c r="C28" i="3" s="1"/>
  <c r="E28" i="3" s="1"/>
  <c r="F28" i="3" s="1"/>
  <c r="J28" i="3" s="1"/>
  <c r="K9" i="3"/>
  <c r="K9" i="2"/>
  <c r="B8" i="2"/>
  <c r="E5" i="1"/>
  <c r="F5" i="1" s="1"/>
  <c r="D35" i="2" l="1"/>
  <c r="E34" i="2"/>
  <c r="F34" i="2" s="1"/>
  <c r="K29" i="1"/>
  <c r="G31" i="1"/>
  <c r="I30" i="1"/>
  <c r="L30" i="1" s="1"/>
  <c r="G7" i="3"/>
  <c r="H7" i="3" s="1"/>
  <c r="G7" i="5"/>
  <c r="H7" i="5" s="1"/>
  <c r="C7" i="1"/>
  <c r="D6" i="1"/>
  <c r="E6" i="1" s="1"/>
  <c r="F6" i="1" s="1"/>
  <c r="G6" i="1" s="1"/>
  <c r="I6" i="1" s="1"/>
  <c r="G5" i="1"/>
  <c r="G7" i="4"/>
  <c r="H7" i="4" s="1"/>
  <c r="I7" i="4" s="1"/>
  <c r="F7" i="4"/>
  <c r="K10" i="1"/>
  <c r="B9" i="1"/>
  <c r="E8" i="4"/>
  <c r="C10" i="4"/>
  <c r="D9" i="4"/>
  <c r="L10" i="4"/>
  <c r="B9" i="4"/>
  <c r="K10" i="5"/>
  <c r="B9" i="5"/>
  <c r="E8" i="5"/>
  <c r="F8" i="5" s="1"/>
  <c r="C10" i="5"/>
  <c r="D9" i="5"/>
  <c r="C10" i="3"/>
  <c r="B30" i="3" s="1"/>
  <c r="H30" i="3" s="1"/>
  <c r="I30" i="3" s="1"/>
  <c r="D9" i="3"/>
  <c r="K10" i="3"/>
  <c r="B9" i="3"/>
  <c r="C29" i="3" s="1"/>
  <c r="E29" i="3" s="1"/>
  <c r="F29" i="3" s="1"/>
  <c r="J29" i="3" s="1"/>
  <c r="E8" i="3"/>
  <c r="F8" i="3" s="1"/>
  <c r="K10" i="2"/>
  <c r="B9" i="2"/>
  <c r="J34" i="2" l="1"/>
  <c r="I5" i="1"/>
  <c r="K30" i="1"/>
  <c r="N30" i="1" s="1"/>
  <c r="F45" i="1" s="1"/>
  <c r="I31" i="1"/>
  <c r="G32" i="1"/>
  <c r="E9" i="3"/>
  <c r="F9" i="3" s="1"/>
  <c r="N29" i="1"/>
  <c r="F44" i="1" s="1"/>
  <c r="G9" i="3"/>
  <c r="H9" i="3" s="1"/>
  <c r="G8" i="3"/>
  <c r="H8" i="3" s="1"/>
  <c r="G8" i="5"/>
  <c r="H8" i="5" s="1"/>
  <c r="H5" i="1"/>
  <c r="K11" i="1"/>
  <c r="B10" i="1"/>
  <c r="G8" i="4"/>
  <c r="H8" i="4" s="1"/>
  <c r="I8" i="4" s="1"/>
  <c r="F8" i="4"/>
  <c r="C8" i="1"/>
  <c r="D7" i="1"/>
  <c r="E7" i="1" s="1"/>
  <c r="F7" i="1" s="1"/>
  <c r="E9" i="4"/>
  <c r="C11" i="4"/>
  <c r="D11" i="4" s="1"/>
  <c r="D10" i="4"/>
  <c r="L11" i="4"/>
  <c r="B10" i="4"/>
  <c r="K11" i="5"/>
  <c r="B10" i="5"/>
  <c r="E9" i="5"/>
  <c r="F9" i="5" s="1"/>
  <c r="D10" i="5"/>
  <c r="C11" i="5"/>
  <c r="D11" i="5" s="1"/>
  <c r="C11" i="3"/>
  <c r="D10" i="3"/>
  <c r="K11" i="3"/>
  <c r="B10" i="3"/>
  <c r="C30" i="3" s="1"/>
  <c r="E30" i="3" s="1"/>
  <c r="F30" i="3" s="1"/>
  <c r="J30" i="3" s="1"/>
  <c r="K11" i="2"/>
  <c r="B10" i="2"/>
  <c r="H6" i="1"/>
  <c r="L31" i="1" l="1"/>
  <c r="I32" i="1"/>
  <c r="D11" i="3"/>
  <c r="B31" i="3"/>
  <c r="H31" i="3" s="1"/>
  <c r="I31" i="3" s="1"/>
  <c r="K31" i="1"/>
  <c r="G9" i="5"/>
  <c r="H9" i="5" s="1"/>
  <c r="E10" i="3"/>
  <c r="F10" i="3" s="1"/>
  <c r="G7" i="1"/>
  <c r="C9" i="1"/>
  <c r="D8" i="1"/>
  <c r="E8" i="1" s="1"/>
  <c r="F8" i="1" s="1"/>
  <c r="G9" i="4"/>
  <c r="H9" i="4" s="1"/>
  <c r="I9" i="4" s="1"/>
  <c r="F9" i="4"/>
  <c r="K12" i="1"/>
  <c r="B12" i="1" s="1"/>
  <c r="B14" i="1" s="1"/>
  <c r="B11" i="1"/>
  <c r="E10" i="4"/>
  <c r="L12" i="4"/>
  <c r="B12" i="4" s="1"/>
  <c r="B11" i="4"/>
  <c r="E11" i="4" s="1"/>
  <c r="K12" i="5"/>
  <c r="B12" i="5" s="1"/>
  <c r="B11" i="5"/>
  <c r="E11" i="5" s="1"/>
  <c r="F11" i="5" s="1"/>
  <c r="E10" i="5"/>
  <c r="F10" i="5" s="1"/>
  <c r="K12" i="3"/>
  <c r="B12" i="3" s="1"/>
  <c r="C32" i="3" s="1"/>
  <c r="B11" i="3"/>
  <c r="K12" i="2"/>
  <c r="B12" i="2" s="1"/>
  <c r="B14" i="2" s="1"/>
  <c r="B15" i="2" s="1"/>
  <c r="B11" i="2"/>
  <c r="C18" i="2"/>
  <c r="C4" i="2" s="1"/>
  <c r="C14" i="2"/>
  <c r="D12" i="2"/>
  <c r="I33" i="3" l="1"/>
  <c r="D4" i="2"/>
  <c r="E4" i="2" s="1"/>
  <c r="G4" i="2" s="1"/>
  <c r="H4" i="2" s="1"/>
  <c r="B26" i="2"/>
  <c r="C5" i="2"/>
  <c r="I7" i="1"/>
  <c r="L32" i="1"/>
  <c r="L33" i="1" s="1"/>
  <c r="K32" i="1"/>
  <c r="K33" i="1" s="1"/>
  <c r="E32" i="3"/>
  <c r="F32" i="3" s="1"/>
  <c r="C33" i="3"/>
  <c r="E11" i="3"/>
  <c r="F11" i="3" s="1"/>
  <c r="G11" i="3" s="1"/>
  <c r="H11" i="3" s="1"/>
  <c r="C31" i="3"/>
  <c r="E31" i="3" s="1"/>
  <c r="F31" i="3" s="1"/>
  <c r="J31" i="3" s="1"/>
  <c r="N31" i="1"/>
  <c r="G10" i="5"/>
  <c r="H10" i="5" s="1"/>
  <c r="G10" i="3"/>
  <c r="H10" i="3" s="1"/>
  <c r="G11" i="5"/>
  <c r="H11" i="5" s="1"/>
  <c r="G8" i="1"/>
  <c r="I8" i="1" s="1"/>
  <c r="G10" i="4"/>
  <c r="H10" i="4" s="1"/>
  <c r="I10" i="4" s="1"/>
  <c r="F10" i="4"/>
  <c r="G11" i="4"/>
  <c r="H11" i="4" s="1"/>
  <c r="I11" i="4" s="1"/>
  <c r="F11" i="4"/>
  <c r="C10" i="1"/>
  <c r="D9" i="1"/>
  <c r="E9" i="1" s="1"/>
  <c r="F9" i="1" s="1"/>
  <c r="H7" i="1"/>
  <c r="B14" i="4"/>
  <c r="B15" i="4" s="1"/>
  <c r="E12" i="4"/>
  <c r="B14" i="5"/>
  <c r="B15" i="5" s="1"/>
  <c r="E12" i="5"/>
  <c r="F12" i="5" s="1"/>
  <c r="B14" i="3"/>
  <c r="B15" i="3" s="1"/>
  <c r="E12" i="3"/>
  <c r="F12" i="3" s="1"/>
  <c r="E12" i="2"/>
  <c r="F12" i="2" s="1"/>
  <c r="J32" i="3" l="1"/>
  <c r="J33" i="3" s="1"/>
  <c r="F33" i="3"/>
  <c r="C6" i="2"/>
  <c r="B27" i="2"/>
  <c r="D5" i="2"/>
  <c r="E5" i="2" s="1"/>
  <c r="F5" i="2" s="1"/>
  <c r="G5" i="2" s="1"/>
  <c r="H5" i="2" s="1"/>
  <c r="C26" i="2"/>
  <c r="E26" i="2" s="1"/>
  <c r="F26" i="2" s="1"/>
  <c r="H26" i="2"/>
  <c r="N33" i="1"/>
  <c r="F46" i="1"/>
  <c r="F48" i="1" s="1"/>
  <c r="G12" i="5"/>
  <c r="H12" i="5" s="1"/>
  <c r="G12" i="3"/>
  <c r="H12" i="3" s="1"/>
  <c r="H8" i="1"/>
  <c r="G9" i="1"/>
  <c r="I9" i="1" s="1"/>
  <c r="C11" i="1"/>
  <c r="D10" i="1"/>
  <c r="E10" i="1" s="1"/>
  <c r="F10" i="1" s="1"/>
  <c r="G12" i="4"/>
  <c r="H12" i="4" s="1"/>
  <c r="I12" i="4" s="1"/>
  <c r="F12" i="4"/>
  <c r="G12" i="2"/>
  <c r="H12" i="2" s="1"/>
  <c r="I26" i="2" l="1"/>
  <c r="C27" i="2"/>
  <c r="E27" i="2" s="1"/>
  <c r="F27" i="2" s="1"/>
  <c r="H27" i="2"/>
  <c r="I27" i="2" s="1"/>
  <c r="C7" i="2"/>
  <c r="B28" i="2"/>
  <c r="D6" i="2"/>
  <c r="E6" i="2" s="1"/>
  <c r="F6" i="2" s="1"/>
  <c r="G6" i="2" s="1"/>
  <c r="H6" i="2" s="1"/>
  <c r="H9" i="1"/>
  <c r="G10" i="1"/>
  <c r="I10" i="1" s="1"/>
  <c r="C12" i="1"/>
  <c r="D11" i="1"/>
  <c r="E11" i="1"/>
  <c r="F11" i="1" s="1"/>
  <c r="C28" i="2" l="1"/>
  <c r="E28" i="2" s="1"/>
  <c r="F28" i="2" s="1"/>
  <c r="H28" i="2"/>
  <c r="J26" i="2"/>
  <c r="C8" i="2"/>
  <c r="B29" i="2"/>
  <c r="D7" i="2"/>
  <c r="E7" i="2" s="1"/>
  <c r="F7" i="2" s="1"/>
  <c r="G7" i="2" s="1"/>
  <c r="H7" i="2" s="1"/>
  <c r="J27" i="2"/>
  <c r="H10" i="1"/>
  <c r="G11" i="1"/>
  <c r="I11" i="1" s="1"/>
  <c r="C18" i="1"/>
  <c r="C14" i="1"/>
  <c r="D12" i="1"/>
  <c r="E12" i="1" s="1"/>
  <c r="F12" i="1" s="1"/>
  <c r="B15" i="1"/>
  <c r="I28" i="2" l="1"/>
  <c r="H29" i="2"/>
  <c r="I29" i="2" s="1"/>
  <c r="J29" i="2" s="1"/>
  <c r="C29" i="2"/>
  <c r="E29" i="2" s="1"/>
  <c r="F29" i="2" s="1"/>
  <c r="C9" i="2"/>
  <c r="B30" i="2"/>
  <c r="D8" i="2"/>
  <c r="E8" i="2" s="1"/>
  <c r="F8" i="2" s="1"/>
  <c r="G8" i="2" s="1"/>
  <c r="H8" i="2" s="1"/>
  <c r="H11" i="1"/>
  <c r="G12" i="1"/>
  <c r="J28" i="2" l="1"/>
  <c r="C30" i="2"/>
  <c r="E30" i="2" s="1"/>
  <c r="F30" i="2" s="1"/>
  <c r="H30" i="2"/>
  <c r="I30" i="2" s="1"/>
  <c r="J30" i="2" s="1"/>
  <c r="C10" i="2"/>
  <c r="B31" i="2"/>
  <c r="D9" i="2"/>
  <c r="E9" i="2" s="1"/>
  <c r="F9" i="2" s="1"/>
  <c r="G9" i="2" s="1"/>
  <c r="H9" i="2" s="1"/>
  <c r="I12" i="1"/>
  <c r="G13" i="1"/>
  <c r="H12" i="1"/>
  <c r="C31" i="2" l="1"/>
  <c r="E31" i="2" s="1"/>
  <c r="F31" i="2" s="1"/>
  <c r="H31" i="2"/>
  <c r="I31" i="2" s="1"/>
  <c r="J31" i="2" s="1"/>
  <c r="C11" i="2"/>
  <c r="B32" i="2"/>
  <c r="D10" i="2"/>
  <c r="E10" i="2" s="1"/>
  <c r="F10" i="2" s="1"/>
  <c r="G10" i="2" s="1"/>
  <c r="H10" i="2" s="1"/>
  <c r="C32" i="2" l="1"/>
  <c r="E32" i="2" s="1"/>
  <c r="F32" i="2" s="1"/>
  <c r="H32" i="2"/>
  <c r="I32" i="2" s="1"/>
  <c r="B33" i="2"/>
  <c r="D11" i="2"/>
  <c r="E11" i="2" s="1"/>
  <c r="F11" i="2" s="1"/>
  <c r="G11" i="2" s="1"/>
  <c r="H11" i="2" s="1"/>
  <c r="C33" i="2" l="1"/>
  <c r="E33" i="2" s="1"/>
  <c r="F33" i="2" s="1"/>
  <c r="F35" i="2" s="1"/>
  <c r="H33" i="2"/>
  <c r="H35" i="2" s="1"/>
  <c r="J32" i="2"/>
  <c r="I33" i="2" l="1"/>
  <c r="J33" i="2" l="1"/>
  <c r="J35" i="2" s="1"/>
  <c r="I35" i="2"/>
</calcChain>
</file>

<file path=xl/sharedStrings.xml><?xml version="1.0" encoding="utf-8"?>
<sst xmlns="http://schemas.openxmlformats.org/spreadsheetml/2006/main" count="230" uniqueCount="115">
  <si>
    <t>Metric Tons of CO2e from Gas and Diesel Sales</t>
  </si>
  <si>
    <t>Emission Budget - Metric Tons CO2e</t>
  </si>
  <si>
    <t>10% CCR</t>
  </si>
  <si>
    <t xml:space="preserve"> </t>
  </si>
  <si>
    <t>Allowances over/under 2019 demand mtons</t>
  </si>
  <si>
    <t>Shortfall of gallons @ 18.28 lbs of CO2 / gallon of e10/diesel</t>
  </si>
  <si>
    <t>Eliminated Demand for LDV @ 500 gall./year per LDV</t>
  </si>
  <si>
    <t>2032 Pct 2023</t>
  </si>
  <si>
    <t>30% decline in allowances 2023-2032</t>
  </si>
  <si>
    <t>Backup</t>
  </si>
  <si>
    <t>2019 Gasoline and Diesel Consumption, Transportation</t>
  </si>
  <si>
    <t>Source: EIA</t>
  </si>
  <si>
    <t>https://www.eia.gov/state/seds/seds-data-fuel.php?sid=CT#Petroleum</t>
  </si>
  <si>
    <t>CT</t>
  </si>
  <si>
    <t>Gasoline</t>
  </si>
  <si>
    <t>Diesel</t>
  </si>
  <si>
    <t>CT Barrels</t>
  </si>
  <si>
    <t>CT Gallons</t>
  </si>
  <si>
    <t>CT Lbs CO2 Total</t>
  </si>
  <si>
    <t>Total</t>
  </si>
  <si>
    <t>Lbs CO2/Gall</t>
  </si>
  <si>
    <t>Per EIA Model rule:</t>
  </si>
  <si>
    <t>Metric Tons/gall CO2</t>
  </si>
  <si>
    <t>Lbs/gall CO2</t>
  </si>
  <si>
    <t>E10 gas</t>
  </si>
  <si>
    <t>Weighted Avg CO2/Gall</t>
  </si>
  <si>
    <t>Metric tons CO2</t>
  </si>
  <si>
    <t>Source:</t>
  </si>
  <si>
    <t>Source EIA:</t>
  </si>
  <si>
    <t>https://www.eia.gov/outlooks/aeo/data/browser/#/?id=2-AEO2021&amp;region=1-1&amp;cases=ref2021&amp;start=2019&amp;end=2050&amp;f=A&amp;linechart=&amp;map=ref2021-d113020a.4-2-AEO2021.1-1&amp;ctype=linechart&amp;sourcekey=0</t>
  </si>
  <si>
    <t>In Quadrillions of BTUs</t>
  </si>
  <si>
    <t>% change</t>
  </si>
  <si>
    <t>Change 2023 to 2032</t>
  </si>
  <si>
    <t>COLUMN B</t>
  </si>
  <si>
    <t>COLUMN C</t>
  </si>
  <si>
    <t>TCI-P Program Design Elements Page 2</t>
  </si>
  <si>
    <t>COLUMN D</t>
  </si>
  <si>
    <t>MA Barrels</t>
  </si>
  <si>
    <t>MA Gallons</t>
  </si>
  <si>
    <t>RI Barrels</t>
  </si>
  <si>
    <t>RI Gallons</t>
  </si>
  <si>
    <t>DC Barrels</t>
  </si>
  <si>
    <t>DC Gallons</t>
  </si>
  <si>
    <t>COLUMN E</t>
  </si>
  <si>
    <t>Equals Column D minus Column B</t>
  </si>
  <si>
    <t>Equals Column C times 1.1</t>
  </si>
  <si>
    <t>COLUMN F</t>
  </si>
  <si>
    <t>Column B starts with intial metric ton consumption in green boxes above in 2023 for each state, then declining per the schedule above through 2032</t>
  </si>
  <si>
    <t>COLUMN G</t>
  </si>
  <si>
    <t>COLUMN H</t>
  </si>
  <si>
    <t>Equals Column G divided by 500 gallons annual consumption per LDV.  A constant number is used as increased mileage efficiency is offset by more miles driven due to higher economic activity</t>
  </si>
  <si>
    <t xml:space="preserve">Efficiency improvements fully offset the consumption growth from LDV travel growth through 2043 and partially offset the consumption growth from heavy-duty vehicle travel growth through 2036. </t>
  </si>
  <si>
    <t>Continued growth of on-road travel increases energy use later in the projection period because the travel demand for both light- and heavy-duty vehicles outpaces fuel economy improvements.</t>
  </si>
  <si>
    <t>Per EIA 2021 Annual Energy Outlook Narrative Page 5:</t>
  </si>
  <si>
    <t>% decline</t>
  </si>
  <si>
    <t>Lbs of CO2 @ 2205 lbs/mton Shortfall</t>
  </si>
  <si>
    <t>Backup lines 50-59</t>
  </si>
  <si>
    <t>MA</t>
  </si>
  <si>
    <t>Shortfall of gallons @ 18.19 lbs of CO2 / gallon of e10/diesel</t>
  </si>
  <si>
    <t>RI</t>
  </si>
  <si>
    <t>Yearly decline in allowances</t>
  </si>
  <si>
    <t>Shortfall of gallons @ 18.23 lbs of CO2 / gallon of e10/diesel</t>
  </si>
  <si>
    <t>DC</t>
  </si>
  <si>
    <t>Shortfall of gallons @ 18.05 lbs of CO2 / gallon of e10/diesel</t>
  </si>
  <si>
    <t>2023 - 2032 New England Gasoline&amp; Diesel Consumption</t>
  </si>
  <si>
    <t>Equals Column E times 2205 lbs per metric ton</t>
  </si>
  <si>
    <t>Equals Column F divided by the weighted average of diesel and gasoline for each state based on their consumption in 2019 (from blue highlighted boxes above)</t>
  </si>
  <si>
    <t>Regional</t>
  </si>
  <si>
    <t>4 state weighted average CO2 lbs/gall</t>
  </si>
  <si>
    <t>Shortfall of gallons @ 18.22 lbs of CO2 / gallon of e10/diesel</t>
  </si>
  <si>
    <t>Page 68/153</t>
  </si>
  <si>
    <t>%</t>
  </si>
  <si>
    <t>Shortfall Percent</t>
  </si>
  <si>
    <t>CT Tax Loss</t>
  </si>
  <si>
    <t>Metric Tons of CO2</t>
  </si>
  <si>
    <t>Emissions budget</t>
  </si>
  <si>
    <t>Gasoline Share</t>
  </si>
  <si>
    <t>Diesel Share</t>
  </si>
  <si>
    <t>Gallons Diesel</t>
  </si>
  <si>
    <t>Gallons Gasoline</t>
  </si>
  <si>
    <t>EIA Forecast</t>
  </si>
  <si>
    <t>Gas</t>
  </si>
  <si>
    <t>Shortfall</t>
  </si>
  <si>
    <t>Gasoline Excise</t>
  </si>
  <si>
    <t>Gasoline GRT</t>
  </si>
  <si>
    <t>Diesel Excise</t>
  </si>
  <si>
    <t>TCI Auction Revenue</t>
  </si>
  <si>
    <t>TCI CCR Cap</t>
  </si>
  <si>
    <t>TCI ECR Floor</t>
  </si>
  <si>
    <t>Average</t>
  </si>
  <si>
    <t xml:space="preserve">Average Auction </t>
  </si>
  <si>
    <t>Price/Mton CO2</t>
  </si>
  <si>
    <t>Total Revenue</t>
  </si>
  <si>
    <t>from Auctions</t>
  </si>
  <si>
    <t>45% for Spec</t>
  </si>
  <si>
    <t>Trans Fund</t>
  </si>
  <si>
    <t>Net to STF</t>
  </si>
  <si>
    <t>Less loss tax $</t>
  </si>
  <si>
    <t>Total Net to STF</t>
  </si>
  <si>
    <t>TCI Gallons</t>
  </si>
  <si>
    <t>Shortfall*</t>
  </si>
  <si>
    <t>*Uses an avg. wholesale price of $1.97</t>
  </si>
  <si>
    <t>over the past 5 years</t>
  </si>
  <si>
    <t xml:space="preserve">Gallons </t>
  </si>
  <si>
    <t>Fuel</t>
  </si>
  <si>
    <t>Tax Revenue</t>
  </si>
  <si>
    <t>Shortfall @ 35 cpg</t>
  </si>
  <si>
    <t>TCI Auction</t>
  </si>
  <si>
    <t>Revenue</t>
  </si>
  <si>
    <t>60% Remaining</t>
  </si>
  <si>
    <t>for Transportation</t>
  </si>
  <si>
    <t>Less Lost</t>
  </si>
  <si>
    <t>RI Tax Loss</t>
  </si>
  <si>
    <t>MA Tax Loss</t>
  </si>
  <si>
    <t>Shortfall @ 26.54 cpg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</si>
</sst>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%"/>
    <numFmt numFmtId="167" formatCode="&quot;$&quot;#,##0.00"/>
    <numFmt numFmtId="168" formatCode="&quot;$&quot;#,##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3" fontId="0" fillId="0" borderId="0" xfId="1" applyNumberFormat="1" applyFont="1"/>
    <xf numFmtId="9" fontId="0" fillId="0" borderId="0" xfId="0" applyNumberFormat="1"/>
    <xf numFmtId="164" fontId="3" fillId="0" borderId="0" xfId="1" applyNumberFormat="1" applyFont="1"/>
    <xf numFmtId="9" fontId="3" fillId="0" borderId="0" xfId="0" applyNumberFormat="1" applyFont="1"/>
    <xf numFmtId="164" fontId="1" fillId="0" borderId="0" xfId="1" applyNumberFormat="1" applyFont="1" applyBorder="1"/>
    <xf numFmtId="9" fontId="0" fillId="0" borderId="0" xfId="0" applyNumberFormat="1" applyFont="1" applyBorder="1"/>
    <xf numFmtId="9" fontId="0" fillId="0" borderId="0" xfId="2" applyFont="1"/>
    <xf numFmtId="1" fontId="0" fillId="0" borderId="0" xfId="0" applyNumberFormat="1"/>
    <xf numFmtId="10" fontId="0" fillId="0" borderId="0" xfId="2" applyNumberFormat="1" applyFont="1"/>
    <xf numFmtId="0" fontId="5" fillId="0" borderId="0" xfId="0" applyFont="1"/>
    <xf numFmtId="0" fontId="6" fillId="0" borderId="0" xfId="3"/>
    <xf numFmtId="0" fontId="0" fillId="0" borderId="0" xfId="0" applyAlignment="1">
      <alignment horizontal="right"/>
    </xf>
    <xf numFmtId="2" fontId="0" fillId="0" borderId="0" xfId="0" applyNumberFormat="1"/>
    <xf numFmtId="2" fontId="0" fillId="2" borderId="0" xfId="0" applyNumberFormat="1" applyFill="1"/>
    <xf numFmtId="43" fontId="0" fillId="0" borderId="0" xfId="0" applyNumberFormat="1"/>
    <xf numFmtId="164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1" xfId="2" applyNumberFormat="1" applyFont="1" applyBorder="1"/>
    <xf numFmtId="164" fontId="0" fillId="0" borderId="0" xfId="0" applyNumberFormat="1" applyFill="1"/>
    <xf numFmtId="164" fontId="4" fillId="3" borderId="0" xfId="0" applyNumberFormat="1" applyFont="1" applyFill="1"/>
    <xf numFmtId="0" fontId="3" fillId="0" borderId="0" xfId="0" applyFont="1"/>
    <xf numFmtId="2" fontId="0" fillId="4" borderId="0" xfId="0" applyNumberFormat="1" applyFill="1"/>
    <xf numFmtId="0" fontId="7" fillId="0" borderId="0" xfId="0" applyFont="1"/>
    <xf numFmtId="0" fontId="8" fillId="0" borderId="0" xfId="0" applyFont="1" applyAlignment="1">
      <alignment vertical="center"/>
    </xf>
    <xf numFmtId="3" fontId="0" fillId="0" borderId="0" xfId="0" applyNumberFormat="1" applyFill="1"/>
    <xf numFmtId="9" fontId="0" fillId="0" borderId="0" xfId="0" applyNumberFormat="1" applyFill="1"/>
    <xf numFmtId="0" fontId="0" fillId="0" borderId="0" xfId="0" applyFill="1"/>
    <xf numFmtId="164" fontId="0" fillId="0" borderId="0" xfId="1" applyNumberFormat="1" applyFont="1" applyFill="1"/>
    <xf numFmtId="10" fontId="0" fillId="0" borderId="0" xfId="0" applyNumberFormat="1" applyFill="1"/>
    <xf numFmtId="43" fontId="0" fillId="5" borderId="0" xfId="0" applyNumberFormat="1" applyFill="1"/>
    <xf numFmtId="166" fontId="0" fillId="0" borderId="0" xfId="2" applyNumberFormat="1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64" fontId="0" fillId="5" borderId="0" xfId="1" applyNumberFormat="1" applyFont="1" applyFill="1" applyAlignment="1">
      <alignment horizontal="center"/>
    </xf>
    <xf numFmtId="9" fontId="0" fillId="5" borderId="0" xfId="0" applyNumberFormat="1" applyFill="1" applyAlignment="1">
      <alignment horizontal="center"/>
    </xf>
    <xf numFmtId="0" fontId="0" fillId="5" borderId="0" xfId="0" applyFill="1"/>
    <xf numFmtId="3" fontId="0" fillId="5" borderId="0" xfId="0" applyNumberFormat="1" applyFill="1"/>
    <xf numFmtId="164" fontId="0" fillId="5" borderId="0" xfId="1" applyNumberFormat="1" applyFont="1" applyFill="1"/>
    <xf numFmtId="164" fontId="0" fillId="5" borderId="0" xfId="0" applyNumberFormat="1" applyFill="1"/>
    <xf numFmtId="6" fontId="4" fillId="5" borderId="0" xfId="4" applyNumberFormat="1" applyFont="1" applyFill="1"/>
    <xf numFmtId="6" fontId="4" fillId="5" borderId="0" xfId="0" applyNumberFormat="1" applyFont="1" applyFill="1"/>
    <xf numFmtId="38" fontId="4" fillId="5" borderId="0" xfId="0" applyNumberFormat="1" applyFont="1" applyFill="1"/>
    <xf numFmtId="6" fontId="0" fillId="5" borderId="0" xfId="0" applyNumberFormat="1" applyFill="1"/>
    <xf numFmtId="3" fontId="0" fillId="5" borderId="0" xfId="1" applyNumberFormat="1" applyFont="1" applyFill="1"/>
    <xf numFmtId="10" fontId="0" fillId="5" borderId="0" xfId="2" applyNumberFormat="1" applyFont="1" applyFill="1"/>
    <xf numFmtId="9" fontId="0" fillId="5" borderId="0" xfId="0" applyNumberFormat="1" applyFill="1"/>
    <xf numFmtId="38" fontId="0" fillId="5" borderId="0" xfId="1" applyNumberFormat="1" applyFont="1" applyFill="1"/>
    <xf numFmtId="167" fontId="0" fillId="0" borderId="0" xfId="0" applyNumberFormat="1"/>
    <xf numFmtId="6" fontId="0" fillId="5" borderId="2" xfId="0" applyNumberFormat="1" applyFill="1" applyBorder="1"/>
    <xf numFmtId="0" fontId="0" fillId="5" borderId="0" xfId="0" applyFill="1" applyAlignment="1">
      <alignment horizontal="right"/>
    </xf>
    <xf numFmtId="167" fontId="0" fillId="5" borderId="0" xfId="0" applyNumberFormat="1" applyFill="1"/>
    <xf numFmtId="168" fontId="0" fillId="5" borderId="0" xfId="0" applyNumberFormat="1" applyFill="1"/>
    <xf numFmtId="38" fontId="0" fillId="5" borderId="0" xfId="0" applyNumberFormat="1" applyFill="1"/>
    <xf numFmtId="9" fontId="0" fillId="5" borderId="0" xfId="2" applyFont="1" applyFill="1"/>
    <xf numFmtId="6" fontId="3" fillId="5" borderId="0" xfId="0" applyNumberFormat="1" applyFont="1" applyFill="1"/>
    <xf numFmtId="0" fontId="0" fillId="6" borderId="0" xfId="0" applyFill="1" applyAlignment="1">
      <alignment horizontal="center"/>
    </xf>
    <xf numFmtId="6" fontId="0" fillId="6" borderId="0" xfId="0" applyNumberFormat="1" applyFill="1"/>
    <xf numFmtId="0" fontId="0" fillId="6" borderId="0" xfId="0" applyFill="1"/>
    <xf numFmtId="6" fontId="0" fillId="6" borderId="1" xfId="0" applyNumberFormat="1" applyFill="1" applyBorder="1"/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eia.gov/outlooks/aeo/data/browser/" TargetMode="External"/><Relationship Id="rId1" Type="http://schemas.openxmlformats.org/officeDocument/2006/relationships/hyperlink" Target="https://www.eia.gov/state/seds/seds-data-fuel.php?sid=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9"/>
  <sheetViews>
    <sheetView zoomScale="80" zoomScaleNormal="80" workbookViewId="0">
      <selection activeCell="A3" sqref="A3:XFD5"/>
    </sheetView>
  </sheetViews>
  <sheetFormatPr defaultColWidth="11" defaultRowHeight="15.75" x14ac:dyDescent="0.25"/>
  <cols>
    <col min="2" max="2" width="26.875" bestFit="1" customWidth="1"/>
    <col min="3" max="3" width="20.625" customWidth="1"/>
    <col min="4" max="4" width="14" bestFit="1" customWidth="1"/>
    <col min="5" max="5" width="17" customWidth="1"/>
    <col min="6" max="6" width="13.125" customWidth="1"/>
    <col min="7" max="7" width="18.625" customWidth="1"/>
    <col min="8" max="8" width="15.25" customWidth="1"/>
    <col min="9" max="9" width="15.375" customWidth="1"/>
    <col min="12" max="12" width="14.625" customWidth="1"/>
    <col min="13" max="13" width="12.625" customWidth="1"/>
  </cols>
  <sheetData>
    <row r="1" spans="1:14" ht="78.75" x14ac:dyDescent="0.25">
      <c r="A1" s="23" t="s">
        <v>67</v>
      </c>
      <c r="B1" s="2" t="s">
        <v>0</v>
      </c>
      <c r="C1" s="2" t="s">
        <v>1</v>
      </c>
      <c r="D1" s="5" t="s">
        <v>2</v>
      </c>
      <c r="E1" s="2" t="s">
        <v>4</v>
      </c>
      <c r="F1" s="2" t="s">
        <v>72</v>
      </c>
      <c r="G1" s="2" t="s">
        <v>55</v>
      </c>
      <c r="H1" s="2" t="s">
        <v>69</v>
      </c>
      <c r="I1" s="2" t="s">
        <v>6</v>
      </c>
      <c r="M1" t="s">
        <v>56</v>
      </c>
    </row>
    <row r="2" spans="1:14" x14ac:dyDescent="0.25">
      <c r="A2" s="23">
        <v>2019</v>
      </c>
      <c r="B2" s="1">
        <f>L2</f>
        <v>44676827.411999993</v>
      </c>
      <c r="C2" s="2"/>
      <c r="D2" s="5"/>
      <c r="E2" s="2"/>
      <c r="F2" s="2"/>
      <c r="G2" s="2"/>
      <c r="H2" s="2"/>
      <c r="I2" s="2"/>
      <c r="L2" s="33">
        <f>Backup!D14+Backup!D24+Backup!D34+Backup!D44</f>
        <v>44676827.411999993</v>
      </c>
      <c r="M2" s="34"/>
      <c r="N2" s="35"/>
    </row>
    <row r="3" spans="1:14" x14ac:dyDescent="0.25">
      <c r="A3" s="23">
        <v>2023</v>
      </c>
      <c r="B3" s="33">
        <f>L3</f>
        <v>44676827.411999993</v>
      </c>
      <c r="C3" s="1">
        <f>Connecticut!C3+Massachusetts!C3+'Rhode Island'!C3+DC!C3</f>
        <v>42134546</v>
      </c>
      <c r="D3" s="3">
        <f>C3*1.1</f>
        <v>46348000.600000001</v>
      </c>
      <c r="E3" s="4">
        <f t="shared" ref="E3:E12" si="0">D3-B3</f>
        <v>1671173.1880000085</v>
      </c>
      <c r="F3" s="4"/>
      <c r="G3" s="4"/>
      <c r="H3" s="4">
        <f>G3/Backup!$D$22</f>
        <v>0</v>
      </c>
      <c r="I3" s="4">
        <f t="shared" ref="I3:I4" si="1">H3/500</f>
        <v>0</v>
      </c>
      <c r="L3" s="36">
        <f>L2</f>
        <v>44676827.411999993</v>
      </c>
      <c r="M3" s="34"/>
      <c r="N3" s="35">
        <v>2023</v>
      </c>
    </row>
    <row r="4" spans="1:14" x14ac:dyDescent="0.25">
      <c r="A4" s="23">
        <v>2024</v>
      </c>
      <c r="B4" s="33">
        <f t="shared" ref="B4:B12" si="2">L4</f>
        <v>44623640.712699994</v>
      </c>
      <c r="C4" s="6">
        <f>C3-$C$18</f>
        <v>40730061.133333333</v>
      </c>
      <c r="D4" s="3">
        <f>C4*1.1</f>
        <v>44803067.24666667</v>
      </c>
      <c r="E4" s="4">
        <f t="shared" si="0"/>
        <v>179426.5339666754</v>
      </c>
      <c r="F4" s="4"/>
      <c r="G4" s="4"/>
      <c r="H4" s="4">
        <f>G4/Backup!$D$32</f>
        <v>0</v>
      </c>
      <c r="I4" s="4">
        <f t="shared" si="1"/>
        <v>0</v>
      </c>
      <c r="L4" s="36">
        <f>L3*M4</f>
        <v>44623640.712699994</v>
      </c>
      <c r="M4" s="37">
        <f>Backup!E51</f>
        <v>0.99880952380952381</v>
      </c>
      <c r="N4" s="35">
        <v>2024</v>
      </c>
    </row>
    <row r="5" spans="1:14" x14ac:dyDescent="0.25">
      <c r="A5" s="23">
        <v>2025</v>
      </c>
      <c r="B5" s="33">
        <f t="shared" si="2"/>
        <v>44410893.915499993</v>
      </c>
      <c r="C5" s="6">
        <f t="shared" ref="C5:C11" si="3">C4-$C$18</f>
        <v>39325576.266666666</v>
      </c>
      <c r="D5" s="3">
        <f>C5*1.1</f>
        <v>43258133.893333338</v>
      </c>
      <c r="E5" s="4">
        <f t="shared" si="0"/>
        <v>-1152760.0221666545</v>
      </c>
      <c r="F5" s="39">
        <f>E5/B5</f>
        <v>-2.5956694867705105E-2</v>
      </c>
      <c r="G5" s="4">
        <f t="shared" ref="G5:G12" si="4">2205*E5</f>
        <v>-2541835848.8774729</v>
      </c>
      <c r="H5" s="4">
        <f>G5/Backup!$F$43</f>
        <v>-139532932.22513616</v>
      </c>
      <c r="I5" s="4">
        <f>H5/500</f>
        <v>-279065.86445027235</v>
      </c>
      <c r="L5" s="36">
        <f t="shared" ref="L5:L12" si="5">L4*M5</f>
        <v>44410893.915499993</v>
      </c>
      <c r="M5" s="37">
        <f>Backup!E52</f>
        <v>0.99523241954707986</v>
      </c>
      <c r="N5" s="35">
        <v>2025</v>
      </c>
    </row>
    <row r="6" spans="1:14" x14ac:dyDescent="0.25">
      <c r="A6" s="23">
        <v>2026</v>
      </c>
      <c r="B6" s="33">
        <f t="shared" si="2"/>
        <v>44144960.418999992</v>
      </c>
      <c r="C6" s="6">
        <f t="shared" si="3"/>
        <v>37921091.399999999</v>
      </c>
      <c r="D6" s="3">
        <f t="shared" ref="D6:D12" si="6">C6*1.1</f>
        <v>41713200.539999999</v>
      </c>
      <c r="E6" s="4">
        <f t="shared" si="0"/>
        <v>-2431759.8789999932</v>
      </c>
      <c r="F6" s="39">
        <f t="shared" ref="F6:F12" si="7">E6/B6</f>
        <v>-5.5085786824114212E-2</v>
      </c>
      <c r="G6" s="4">
        <f t="shared" si="4"/>
        <v>-5362030533.1949854</v>
      </c>
      <c r="H6" s="4">
        <f>G6/Backup!$F$43</f>
        <v>-294346247.14566767</v>
      </c>
      <c r="I6" s="4">
        <f t="shared" ref="I6:I12" si="8">H6/500</f>
        <v>-588692.49429133534</v>
      </c>
      <c r="L6" s="36">
        <f t="shared" si="5"/>
        <v>44144960.418999992</v>
      </c>
      <c r="M6" s="37">
        <f>Backup!E53</f>
        <v>0.99401197604790414</v>
      </c>
      <c r="N6" s="35">
        <v>2026</v>
      </c>
    </row>
    <row r="7" spans="1:14" x14ac:dyDescent="0.25">
      <c r="A7" s="23">
        <v>2027</v>
      </c>
      <c r="B7" s="33">
        <f t="shared" si="2"/>
        <v>43772653.523899987</v>
      </c>
      <c r="C7" s="6">
        <f t="shared" si="3"/>
        <v>36516606.533333331</v>
      </c>
      <c r="D7" s="3">
        <f t="shared" si="6"/>
        <v>40168267.186666667</v>
      </c>
      <c r="E7" s="4">
        <f t="shared" si="0"/>
        <v>-3604386.3372333199</v>
      </c>
      <c r="F7" s="39">
        <f t="shared" si="7"/>
        <v>-8.2343336468402931E-2</v>
      </c>
      <c r="G7" s="4">
        <f t="shared" si="4"/>
        <v>-7947671873.5994701</v>
      </c>
      <c r="H7" s="4">
        <f>G7/Backup!$F$43</f>
        <v>-436283862.06619763</v>
      </c>
      <c r="I7" s="4">
        <f t="shared" si="8"/>
        <v>-872567.72413239523</v>
      </c>
      <c r="L7" s="36">
        <f t="shared" si="5"/>
        <v>43772653.523899987</v>
      </c>
      <c r="M7" s="37">
        <f>Backup!E54</f>
        <v>0.99156626506024093</v>
      </c>
      <c r="N7" s="35">
        <v>2027</v>
      </c>
    </row>
    <row r="8" spans="1:14" x14ac:dyDescent="0.25">
      <c r="A8" s="23">
        <v>2028</v>
      </c>
      <c r="B8" s="33">
        <f t="shared" si="2"/>
        <v>43400346.62879999</v>
      </c>
      <c r="C8" s="6">
        <f t="shared" si="3"/>
        <v>35112121.666666664</v>
      </c>
      <c r="D8" s="3">
        <f t="shared" si="6"/>
        <v>38623333.833333336</v>
      </c>
      <c r="E8" s="4">
        <f t="shared" si="0"/>
        <v>-4777012.795466654</v>
      </c>
      <c r="F8" s="39">
        <f t="shared" si="7"/>
        <v>-0.11006854015070656</v>
      </c>
      <c r="G8" s="4">
        <f t="shared" si="4"/>
        <v>-10533313214.003973</v>
      </c>
      <c r="H8" s="4">
        <f>G8/Backup!$F$43</f>
        <v>-578221476.98672855</v>
      </c>
      <c r="I8" s="4">
        <f t="shared" si="8"/>
        <v>-1156442.953973457</v>
      </c>
      <c r="L8" s="36">
        <f t="shared" si="5"/>
        <v>43400346.62879999</v>
      </c>
      <c r="M8" s="37">
        <f>Backup!E55</f>
        <v>0.99149453219927097</v>
      </c>
      <c r="N8" s="35">
        <v>2028</v>
      </c>
    </row>
    <row r="9" spans="1:14" x14ac:dyDescent="0.25">
      <c r="A9" s="23">
        <v>2029</v>
      </c>
      <c r="B9" s="33">
        <f t="shared" si="2"/>
        <v>43028039.733699992</v>
      </c>
      <c r="C9" s="6">
        <f t="shared" si="3"/>
        <v>33707636.799999997</v>
      </c>
      <c r="D9" s="3">
        <f t="shared" si="6"/>
        <v>37078400.479999997</v>
      </c>
      <c r="E9" s="4">
        <f t="shared" si="0"/>
        <v>-5949639.2536999956</v>
      </c>
      <c r="F9" s="39">
        <f t="shared" si="7"/>
        <v>-0.1382735372218265</v>
      </c>
      <c r="G9" s="4">
        <f t="shared" si="4"/>
        <v>-13118954554.408491</v>
      </c>
      <c r="H9" s="4">
        <f>G9/Backup!$F$43</f>
        <v>-720159091.90726042</v>
      </c>
      <c r="I9" s="4">
        <f t="shared" si="8"/>
        <v>-1440318.1838145209</v>
      </c>
      <c r="L9" s="36">
        <f t="shared" si="5"/>
        <v>43028039.733699992</v>
      </c>
      <c r="M9" s="37">
        <f>Backup!E56</f>
        <v>0.99142156862745101</v>
      </c>
      <c r="N9" s="35">
        <v>2029</v>
      </c>
    </row>
    <row r="10" spans="1:14" x14ac:dyDescent="0.25">
      <c r="A10" s="23">
        <v>2030</v>
      </c>
      <c r="B10" s="33">
        <f t="shared" si="2"/>
        <v>42549359.43999999</v>
      </c>
      <c r="C10" s="6">
        <f t="shared" si="3"/>
        <v>32303151.93333333</v>
      </c>
      <c r="D10" s="3">
        <f t="shared" si="6"/>
        <v>35533467.126666665</v>
      </c>
      <c r="E10" s="4">
        <f t="shared" si="0"/>
        <v>-7015892.3133333251</v>
      </c>
      <c r="F10" s="39">
        <f t="shared" si="7"/>
        <v>-0.16488831807742313</v>
      </c>
      <c r="G10" s="4">
        <f t="shared" si="4"/>
        <v>-15470042550.899982</v>
      </c>
      <c r="H10" s="4">
        <f>G10/Backup!$F$43</f>
        <v>-849221006.82779074</v>
      </c>
      <c r="I10" s="4">
        <f t="shared" si="8"/>
        <v>-1698442.0136555815</v>
      </c>
      <c r="L10" s="36">
        <f t="shared" si="5"/>
        <v>42549359.43999999</v>
      </c>
      <c r="M10" s="37">
        <f>Backup!E57</f>
        <v>0.9888751545117429</v>
      </c>
      <c r="N10" s="35">
        <v>2030</v>
      </c>
    </row>
    <row r="11" spans="1:14" x14ac:dyDescent="0.25">
      <c r="A11" s="23">
        <v>2031</v>
      </c>
      <c r="B11" s="33">
        <f t="shared" si="2"/>
        <v>42230239.244199991</v>
      </c>
      <c r="C11" s="6">
        <f t="shared" si="3"/>
        <v>30898667.066666663</v>
      </c>
      <c r="D11" s="3">
        <f t="shared" si="6"/>
        <v>33988533.773333333</v>
      </c>
      <c r="E11" s="4">
        <f t="shared" si="0"/>
        <v>-8241705.4708666578</v>
      </c>
      <c r="F11" s="39">
        <f t="shared" si="7"/>
        <v>-0.19516123087080534</v>
      </c>
      <c r="G11" s="4">
        <f t="shared" si="4"/>
        <v>-18172960563.260979</v>
      </c>
      <c r="H11" s="4">
        <f>G11/Backup!$F$43</f>
        <v>-997596471.74832129</v>
      </c>
      <c r="I11" s="4">
        <f t="shared" si="8"/>
        <v>-1995192.9434966426</v>
      </c>
      <c r="L11" s="36">
        <f t="shared" si="5"/>
        <v>42230239.244199991</v>
      </c>
      <c r="M11" s="37">
        <f>Backup!E58</f>
        <v>0.99250000000000005</v>
      </c>
      <c r="N11" s="35">
        <v>2031</v>
      </c>
    </row>
    <row r="12" spans="1:14" x14ac:dyDescent="0.25">
      <c r="A12" s="23">
        <v>2032</v>
      </c>
      <c r="B12" s="33">
        <f t="shared" si="2"/>
        <v>41857932.349099986</v>
      </c>
      <c r="C12" s="6">
        <f>C17</f>
        <v>29494182.199999999</v>
      </c>
      <c r="D12" s="3">
        <f t="shared" si="6"/>
        <v>32443600.420000002</v>
      </c>
      <c r="E12" s="4">
        <f t="shared" si="0"/>
        <v>-9414331.9290999845</v>
      </c>
      <c r="F12" s="39">
        <f t="shared" si="7"/>
        <v>-0.22491153768856451</v>
      </c>
      <c r="G12" s="4">
        <f t="shared" si="4"/>
        <v>-20758601903.665466</v>
      </c>
      <c r="H12" s="4">
        <f>G12/Backup!$F$43</f>
        <v>-1139534086.6688514</v>
      </c>
      <c r="I12" s="4">
        <f t="shared" si="8"/>
        <v>-2279068.1733377026</v>
      </c>
      <c r="L12" s="36">
        <f t="shared" si="5"/>
        <v>41857932.349099986</v>
      </c>
      <c r="M12" s="37">
        <f>Backup!E59</f>
        <v>0.99118387909319894</v>
      </c>
      <c r="N12" s="35">
        <v>2032</v>
      </c>
    </row>
    <row r="13" spans="1:14" x14ac:dyDescent="0.25">
      <c r="A13" s="23"/>
      <c r="L13" s="3"/>
      <c r="M13" s="7"/>
    </row>
    <row r="14" spans="1:14" x14ac:dyDescent="0.25">
      <c r="A14" s="23" t="s">
        <v>7</v>
      </c>
      <c r="B14" s="14">
        <f>B12/B3</f>
        <v>0.9369047619047618</v>
      </c>
      <c r="C14" s="12">
        <f>C12/C3</f>
        <v>0.7</v>
      </c>
      <c r="L14" s="3"/>
      <c r="M14" s="7"/>
    </row>
    <row r="15" spans="1:14" x14ac:dyDescent="0.25">
      <c r="A15" s="23" t="s">
        <v>54</v>
      </c>
      <c r="B15" s="14">
        <f>1-B14</f>
        <v>6.3095238095238204E-2</v>
      </c>
      <c r="C15" s="13"/>
      <c r="L15" s="3"/>
      <c r="M15" s="7"/>
    </row>
    <row r="16" spans="1:14" x14ac:dyDescent="0.25">
      <c r="A16" s="23"/>
      <c r="B16" t="s">
        <v>3</v>
      </c>
      <c r="C16" s="3"/>
      <c r="L16" s="3"/>
      <c r="M16" s="7"/>
    </row>
    <row r="17" spans="1:13" x14ac:dyDescent="0.25">
      <c r="A17" s="23"/>
      <c r="C17" s="1">
        <f>0.7*C3</f>
        <v>29494182.199999999</v>
      </c>
      <c r="D17" t="s">
        <v>8</v>
      </c>
      <c r="L17" s="3"/>
      <c r="M17" s="7"/>
    </row>
    <row r="18" spans="1:13" x14ac:dyDescent="0.25">
      <c r="A18" s="23"/>
      <c r="C18" s="3">
        <f>(C3-C12)/9</f>
        <v>1404484.8666666667</v>
      </c>
      <c r="D18" t="s">
        <v>60</v>
      </c>
      <c r="L18" s="3"/>
      <c r="M18" s="7"/>
    </row>
    <row r="19" spans="1:13" x14ac:dyDescent="0.25">
      <c r="C19" s="1"/>
      <c r="K19" s="1"/>
      <c r="L19" s="7"/>
    </row>
    <row r="20" spans="1:13" x14ac:dyDescent="0.25">
      <c r="K20" s="1"/>
      <c r="L20" s="7"/>
    </row>
    <row r="21" spans="1:13" x14ac:dyDescent="0.25">
      <c r="K21" s="1"/>
      <c r="L21" s="7"/>
    </row>
    <row r="22" spans="1:13" x14ac:dyDescent="0.25">
      <c r="K22" s="1"/>
      <c r="L22" s="7"/>
    </row>
    <row r="23" spans="1:13" x14ac:dyDescent="0.25">
      <c r="K23" s="1"/>
      <c r="L23" s="7"/>
    </row>
    <row r="24" spans="1:13" x14ac:dyDescent="0.25">
      <c r="K24" s="1"/>
      <c r="L24" s="7"/>
    </row>
    <row r="25" spans="1:13" x14ac:dyDescent="0.25">
      <c r="K25" s="1"/>
      <c r="L25" s="7"/>
    </row>
    <row r="26" spans="1:13" x14ac:dyDescent="0.25">
      <c r="K26" s="1"/>
      <c r="L26" s="7"/>
    </row>
    <row r="27" spans="1:13" x14ac:dyDescent="0.25">
      <c r="K27" s="1"/>
      <c r="L27" s="7"/>
    </row>
    <row r="28" spans="1:13" x14ac:dyDescent="0.25">
      <c r="K28" s="1"/>
      <c r="L28" s="7"/>
    </row>
    <row r="29" spans="1:13" x14ac:dyDescent="0.25">
      <c r="K29" s="1"/>
      <c r="L29" s="7"/>
    </row>
    <row r="30" spans="1:13" x14ac:dyDescent="0.25">
      <c r="K30" s="1"/>
      <c r="L30" s="7"/>
    </row>
    <row r="31" spans="1:13" x14ac:dyDescent="0.25">
      <c r="K31" s="1"/>
      <c r="L31" s="7"/>
    </row>
    <row r="32" spans="1:13" x14ac:dyDescent="0.25">
      <c r="K32" s="1"/>
      <c r="L32" s="7"/>
    </row>
    <row r="33" spans="11:12" x14ac:dyDescent="0.25">
      <c r="K33" s="1"/>
      <c r="L33" s="7"/>
    </row>
    <row r="34" spans="11:12" x14ac:dyDescent="0.25">
      <c r="K34" s="1"/>
      <c r="L34" s="7"/>
    </row>
    <row r="35" spans="11:12" x14ac:dyDescent="0.25">
      <c r="K35" s="1"/>
      <c r="L35" s="7"/>
    </row>
    <row r="36" spans="11:12" x14ac:dyDescent="0.25">
      <c r="K36" s="1"/>
      <c r="L36" s="7"/>
    </row>
    <row r="37" spans="11:12" x14ac:dyDescent="0.25">
      <c r="K37" s="1"/>
      <c r="L37" s="7"/>
    </row>
    <row r="38" spans="11:12" x14ac:dyDescent="0.25">
      <c r="K38" s="1"/>
      <c r="L38" s="7"/>
    </row>
    <row r="39" spans="11:12" x14ac:dyDescent="0.25">
      <c r="K39" s="1"/>
      <c r="L39" s="7"/>
    </row>
    <row r="40" spans="11:12" x14ac:dyDescent="0.25">
      <c r="K40" s="1"/>
      <c r="L40" s="7"/>
    </row>
    <row r="41" spans="11:12" x14ac:dyDescent="0.25">
      <c r="K41" s="1"/>
      <c r="L41" s="7"/>
    </row>
    <row r="42" spans="11:12" x14ac:dyDescent="0.25">
      <c r="K42" s="1"/>
      <c r="L42" s="7"/>
    </row>
    <row r="43" spans="11:12" x14ac:dyDescent="0.25">
      <c r="K43" s="1"/>
      <c r="L43" s="7"/>
    </row>
    <row r="44" spans="11:12" x14ac:dyDescent="0.25">
      <c r="K44" s="1"/>
      <c r="L44" s="7"/>
    </row>
    <row r="45" spans="11:12" x14ac:dyDescent="0.25">
      <c r="K45" s="1"/>
      <c r="L45" s="7"/>
    </row>
    <row r="46" spans="11:12" x14ac:dyDescent="0.25">
      <c r="K46" s="1"/>
      <c r="L46" s="7"/>
    </row>
    <row r="47" spans="11:12" x14ac:dyDescent="0.25">
      <c r="K47" s="1"/>
      <c r="L47" s="7"/>
    </row>
    <row r="48" spans="11:12" x14ac:dyDescent="0.25">
      <c r="K48" s="1"/>
      <c r="L48" s="7"/>
    </row>
    <row r="49" spans="11:12" x14ac:dyDescent="0.25">
      <c r="K49" s="1"/>
      <c r="L49" s="7"/>
    </row>
    <row r="50" spans="11:12" x14ac:dyDescent="0.25">
      <c r="K50" s="1"/>
      <c r="L50" s="7"/>
    </row>
    <row r="51" spans="11:12" x14ac:dyDescent="0.25">
      <c r="K51" s="1"/>
      <c r="L51" s="7"/>
    </row>
    <row r="52" spans="11:12" x14ac:dyDescent="0.25">
      <c r="K52" s="1"/>
      <c r="L52" s="7"/>
    </row>
    <row r="53" spans="11:12" x14ac:dyDescent="0.25">
      <c r="K53" s="1"/>
      <c r="L53" s="7"/>
    </row>
    <row r="54" spans="11:12" x14ac:dyDescent="0.25">
      <c r="K54" s="1"/>
      <c r="L54" s="7"/>
    </row>
    <row r="55" spans="11:12" x14ac:dyDescent="0.25">
      <c r="K55" s="1"/>
      <c r="L55" s="7"/>
    </row>
    <row r="56" spans="11:12" x14ac:dyDescent="0.25">
      <c r="K56" s="1"/>
      <c r="L56" s="7"/>
    </row>
    <row r="57" spans="11:12" x14ac:dyDescent="0.25">
      <c r="K57" s="1"/>
      <c r="L57" s="7"/>
    </row>
    <row r="58" spans="11:12" x14ac:dyDescent="0.25">
      <c r="K58" s="1"/>
      <c r="L58" s="7"/>
    </row>
    <row r="59" spans="11:12" x14ac:dyDescent="0.25">
      <c r="K59" s="1"/>
      <c r="L59" s="7"/>
    </row>
    <row r="60" spans="11:12" x14ac:dyDescent="0.25">
      <c r="K60" s="1"/>
      <c r="L60" s="7"/>
    </row>
    <row r="61" spans="11:12" x14ac:dyDescent="0.25">
      <c r="K61" s="1"/>
      <c r="L61" s="7"/>
    </row>
    <row r="62" spans="11:12" x14ac:dyDescent="0.25">
      <c r="K62" s="1"/>
      <c r="L62" s="7"/>
    </row>
    <row r="63" spans="11:12" x14ac:dyDescent="0.25">
      <c r="K63" s="1"/>
      <c r="L63" s="7"/>
    </row>
    <row r="64" spans="11:12" x14ac:dyDescent="0.25">
      <c r="K64" s="1"/>
      <c r="L64" s="7"/>
    </row>
    <row r="65" spans="11:12" x14ac:dyDescent="0.25">
      <c r="K65" s="1"/>
      <c r="L65" s="7"/>
    </row>
    <row r="66" spans="11:12" x14ac:dyDescent="0.25">
      <c r="K66" s="1"/>
      <c r="L66" s="7"/>
    </row>
    <row r="67" spans="11:12" x14ac:dyDescent="0.25">
      <c r="K67" s="1"/>
      <c r="L67" s="7"/>
    </row>
    <row r="68" spans="11:12" x14ac:dyDescent="0.25">
      <c r="K68" s="1"/>
      <c r="L68" s="7"/>
    </row>
    <row r="69" spans="11:12" x14ac:dyDescent="0.25">
      <c r="K69" s="1"/>
      <c r="L69" s="7"/>
    </row>
    <row r="70" spans="11:12" x14ac:dyDescent="0.25">
      <c r="K70" s="1"/>
      <c r="L70" s="7"/>
    </row>
    <row r="71" spans="11:12" x14ac:dyDescent="0.25">
      <c r="K71" s="1"/>
      <c r="L71" s="7"/>
    </row>
    <row r="72" spans="11:12" x14ac:dyDescent="0.25">
      <c r="K72" s="1"/>
      <c r="L72" s="7"/>
    </row>
    <row r="73" spans="11:12" x14ac:dyDescent="0.25">
      <c r="K73" s="1"/>
      <c r="L73" s="7"/>
    </row>
    <row r="74" spans="11:12" x14ac:dyDescent="0.25">
      <c r="K74" s="1"/>
      <c r="L74" s="7"/>
    </row>
    <row r="75" spans="11:12" x14ac:dyDescent="0.25">
      <c r="K75" s="1"/>
      <c r="L75" s="7"/>
    </row>
    <row r="76" spans="11:12" x14ac:dyDescent="0.25">
      <c r="K76" s="1"/>
      <c r="L76" s="7"/>
    </row>
    <row r="77" spans="11:12" x14ac:dyDescent="0.25">
      <c r="K77" s="1"/>
      <c r="L77" s="7"/>
    </row>
    <row r="78" spans="11:12" x14ac:dyDescent="0.25">
      <c r="K78" s="1"/>
      <c r="L78" s="7"/>
    </row>
    <row r="79" spans="11:12" x14ac:dyDescent="0.25">
      <c r="K79" s="1"/>
      <c r="L79" s="7"/>
    </row>
    <row r="80" spans="11:12" x14ac:dyDescent="0.25">
      <c r="K80" s="1"/>
      <c r="L80" s="7"/>
    </row>
    <row r="81" spans="11:12" x14ac:dyDescent="0.25">
      <c r="K81" s="1"/>
      <c r="L81" s="7"/>
    </row>
    <row r="82" spans="11:12" x14ac:dyDescent="0.25">
      <c r="K82" s="1"/>
      <c r="L82" s="7"/>
    </row>
    <row r="83" spans="11:12" x14ac:dyDescent="0.25">
      <c r="K83" s="1"/>
      <c r="L83" s="7"/>
    </row>
    <row r="84" spans="11:12" x14ac:dyDescent="0.25">
      <c r="K84" s="1"/>
      <c r="L84" s="7"/>
    </row>
    <row r="85" spans="11:12" x14ac:dyDescent="0.25">
      <c r="K85" s="1"/>
      <c r="L85" s="7"/>
    </row>
    <row r="86" spans="11:12" x14ac:dyDescent="0.25">
      <c r="K86" s="1"/>
      <c r="L86" s="7"/>
    </row>
    <row r="87" spans="11:12" x14ac:dyDescent="0.25">
      <c r="K87" s="1"/>
      <c r="L87" s="7"/>
    </row>
    <row r="88" spans="11:12" x14ac:dyDescent="0.25">
      <c r="K88" s="1"/>
      <c r="L88" s="7"/>
    </row>
    <row r="89" spans="11:12" x14ac:dyDescent="0.25">
      <c r="K89" s="1"/>
      <c r="L89" s="7"/>
    </row>
    <row r="90" spans="11:12" x14ac:dyDescent="0.25">
      <c r="K90" s="1"/>
      <c r="L90" s="7"/>
    </row>
    <row r="91" spans="11:12" x14ac:dyDescent="0.25">
      <c r="K91" s="1"/>
      <c r="L91" s="7"/>
    </row>
    <row r="92" spans="11:12" x14ac:dyDescent="0.25">
      <c r="K92" s="1"/>
      <c r="L92" s="7"/>
    </row>
    <row r="93" spans="11:12" x14ac:dyDescent="0.25">
      <c r="K93" s="1"/>
      <c r="L93" s="7"/>
    </row>
    <row r="94" spans="11:12" x14ac:dyDescent="0.25">
      <c r="K94" s="1"/>
      <c r="L94" s="7"/>
    </row>
    <row r="95" spans="11:12" x14ac:dyDescent="0.25">
      <c r="K95" s="1"/>
      <c r="L95" s="7"/>
    </row>
    <row r="96" spans="11:12" x14ac:dyDescent="0.25">
      <c r="K96" s="1"/>
      <c r="L96" s="7"/>
    </row>
    <row r="97" spans="11:12" x14ac:dyDescent="0.25">
      <c r="K97" s="1"/>
      <c r="L97" s="7"/>
    </row>
    <row r="98" spans="11:12" x14ac:dyDescent="0.25">
      <c r="K98" s="1"/>
      <c r="L98" s="7"/>
    </row>
    <row r="99" spans="11:12" x14ac:dyDescent="0.25">
      <c r="K99" s="1"/>
      <c r="L99" s="7"/>
    </row>
  </sheetData>
  <dataValidations count="1">
    <dataValidation type="list" allowBlank="1" showInputMessage="1" showErrorMessage="1" sqref="B2" xr:uid="{E03A34E0-1800-42AB-A0E7-3DA0C7C0DEF6}">
      <formula1>$L$2:$L$99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8"/>
  <sheetViews>
    <sheetView tabSelected="1" topLeftCell="A13" workbookViewId="0">
      <selection activeCell="A3" sqref="A3:N5"/>
    </sheetView>
  </sheetViews>
  <sheetFormatPr defaultColWidth="11" defaultRowHeight="15.75" x14ac:dyDescent="0.25"/>
  <cols>
    <col min="1" max="1" width="19.375" style="23" customWidth="1"/>
    <col min="2" max="2" width="21.625" customWidth="1"/>
    <col min="3" max="3" width="18.625" customWidth="1"/>
    <col min="4" max="4" width="17" customWidth="1"/>
    <col min="5" max="5" width="15.5" bestFit="1" customWidth="1"/>
    <col min="6" max="6" width="14.25" customWidth="1"/>
    <col min="7" max="7" width="18.625" customWidth="1"/>
    <col min="8" max="8" width="15.125" customWidth="1"/>
    <col min="9" max="9" width="14.75" customWidth="1"/>
    <col min="10" max="10" width="13.25" customWidth="1"/>
    <col min="11" max="11" width="15.875" customWidth="1"/>
    <col min="12" max="12" width="12.5" customWidth="1"/>
    <col min="13" max="13" width="13.625" customWidth="1"/>
    <col min="14" max="14" width="14.625" customWidth="1"/>
  </cols>
  <sheetData>
    <row r="1" spans="1:13" ht="63" x14ac:dyDescent="0.25">
      <c r="A1" s="23" t="s">
        <v>13</v>
      </c>
      <c r="B1" s="2" t="s">
        <v>0</v>
      </c>
      <c r="C1" s="2" t="s">
        <v>1</v>
      </c>
      <c r="D1" s="5" t="s">
        <v>2</v>
      </c>
      <c r="E1" s="2" t="s">
        <v>4</v>
      </c>
      <c r="F1" s="2" t="s">
        <v>55</v>
      </c>
      <c r="G1" s="2" t="s">
        <v>5</v>
      </c>
      <c r="H1" s="2" t="s">
        <v>6</v>
      </c>
      <c r="L1" t="s">
        <v>56</v>
      </c>
    </row>
    <row r="2" spans="1:13" x14ac:dyDescent="0.25">
      <c r="A2" s="23">
        <v>2019</v>
      </c>
      <c r="B2" s="1">
        <f>Backup!D14</f>
        <v>14284272.995999999</v>
      </c>
      <c r="C2" s="2"/>
      <c r="D2" s="5"/>
      <c r="E2" s="2"/>
      <c r="F2" s="2"/>
      <c r="G2" s="2"/>
      <c r="H2" s="2"/>
      <c r="K2" s="33">
        <f>Backup!D14</f>
        <v>14284272.995999999</v>
      </c>
      <c r="L2" s="34"/>
      <c r="M2" s="35"/>
    </row>
    <row r="3" spans="1:13" x14ac:dyDescent="0.25">
      <c r="A3" s="23">
        <v>2023</v>
      </c>
      <c r="B3" s="33">
        <f>K3</f>
        <v>14284272.995999999</v>
      </c>
      <c r="C3" s="1">
        <v>13497957</v>
      </c>
      <c r="D3" s="3">
        <f>C3*1.1</f>
        <v>14847752.700000001</v>
      </c>
      <c r="E3" s="4">
        <f>D3-B3</f>
        <v>563479.70400000177</v>
      </c>
      <c r="F3" s="4"/>
      <c r="K3" s="36">
        <f>K2</f>
        <v>14284272.995999999</v>
      </c>
      <c r="L3" s="34"/>
      <c r="M3" s="35">
        <v>2023</v>
      </c>
    </row>
    <row r="4" spans="1:13" x14ac:dyDescent="0.25">
      <c r="A4" s="23">
        <v>2024</v>
      </c>
      <c r="B4" s="33">
        <f t="shared" ref="B4:B12" si="0">K4</f>
        <v>14267267.9091</v>
      </c>
      <c r="C4" s="6">
        <f>C3-449932</f>
        <v>13048025</v>
      </c>
      <c r="D4" s="3">
        <f>C4*1.1</f>
        <v>14352827.500000002</v>
      </c>
      <c r="E4" s="4">
        <f t="shared" ref="E4:E12" si="1">D4-B4</f>
        <v>85559.590900002047</v>
      </c>
      <c r="F4" s="4"/>
      <c r="G4" s="4"/>
      <c r="H4" s="4"/>
      <c r="I4" t="s">
        <v>71</v>
      </c>
      <c r="K4" s="36">
        <f>K3*L4</f>
        <v>14267267.9091</v>
      </c>
      <c r="L4" s="37">
        <f>Backup!E51</f>
        <v>0.99880952380952381</v>
      </c>
      <c r="M4" s="35">
        <v>2024</v>
      </c>
    </row>
    <row r="5" spans="1:13" x14ac:dyDescent="0.25">
      <c r="A5" s="23">
        <v>2025</v>
      </c>
      <c r="B5" s="33">
        <f t="shared" si="0"/>
        <v>14199247.5615</v>
      </c>
      <c r="C5" s="6">
        <f t="shared" ref="C5:C12" si="2">C4-449932</f>
        <v>12598093</v>
      </c>
      <c r="D5" s="3">
        <f>C5*1.1</f>
        <v>13857902.300000001</v>
      </c>
      <c r="E5" s="4">
        <f t="shared" si="1"/>
        <v>-341345.26149999909</v>
      </c>
      <c r="F5" s="4">
        <f t="shared" ref="F5:F12" si="3">2205*E5</f>
        <v>-752666301.60749805</v>
      </c>
      <c r="G5" s="4">
        <f>F5/Backup!$D$12</f>
        <v>-41179015.480607346</v>
      </c>
      <c r="H5" s="4">
        <f>G5/500</f>
        <v>-82358.030961214696</v>
      </c>
      <c r="I5" s="39">
        <f>G5/Backup!$D$9</f>
        <v>-2.389657923757026E-2</v>
      </c>
      <c r="K5" s="36">
        <f t="shared" ref="K5:K12" si="4">K4*L5</f>
        <v>14199247.5615</v>
      </c>
      <c r="L5" s="37">
        <f>Backup!E52</f>
        <v>0.99523241954707986</v>
      </c>
      <c r="M5" s="35">
        <v>2025</v>
      </c>
    </row>
    <row r="6" spans="1:13" x14ac:dyDescent="0.25">
      <c r="A6" s="23">
        <v>2026</v>
      </c>
      <c r="B6" s="33">
        <f t="shared" si="0"/>
        <v>14114222.126999998</v>
      </c>
      <c r="C6" s="6">
        <f t="shared" si="2"/>
        <v>12148161</v>
      </c>
      <c r="D6" s="3">
        <f t="shared" ref="D6:D12" si="5">C6*1.1</f>
        <v>13362977.100000001</v>
      </c>
      <c r="E6" s="4">
        <f t="shared" si="1"/>
        <v>-751245.02699999698</v>
      </c>
      <c r="F6" s="4">
        <f t="shared" si="3"/>
        <v>-1656495284.5349934</v>
      </c>
      <c r="G6" s="4">
        <f>F6/Backup!$D$12</f>
        <v>-90628270.217139795</v>
      </c>
      <c r="H6" s="4">
        <f t="shared" ref="H6:H12" si="6">G6/500</f>
        <v>-181256.5404342796</v>
      </c>
      <c r="I6" s="39">
        <f>G6/Backup!$D$9</f>
        <v>-5.259245795780905E-2</v>
      </c>
      <c r="K6" s="36">
        <f t="shared" si="4"/>
        <v>14114222.126999998</v>
      </c>
      <c r="L6" s="37">
        <f>Backup!E53</f>
        <v>0.99401197604790414</v>
      </c>
      <c r="M6" s="35">
        <v>2026</v>
      </c>
    </row>
    <row r="7" spans="1:13" x14ac:dyDescent="0.25">
      <c r="A7" s="23">
        <v>2027</v>
      </c>
      <c r="B7" s="33">
        <f t="shared" si="0"/>
        <v>13995186.518699998</v>
      </c>
      <c r="C7" s="6">
        <f t="shared" si="2"/>
        <v>11698229</v>
      </c>
      <c r="D7" s="3">
        <f t="shared" si="5"/>
        <v>12868051.9</v>
      </c>
      <c r="E7" s="4">
        <f t="shared" si="1"/>
        <v>-1127134.6186999977</v>
      </c>
      <c r="F7" s="4">
        <f t="shared" si="3"/>
        <v>-2485331834.2334948</v>
      </c>
      <c r="G7" s="4">
        <f>F7/Backup!$D$12</f>
        <v>-135974624.95367256</v>
      </c>
      <c r="H7" s="4">
        <f t="shared" si="6"/>
        <v>-271949.2499073451</v>
      </c>
      <c r="I7" s="39">
        <f>G7/Backup!$D$9</f>
        <v>-7.8907384297095637E-2</v>
      </c>
      <c r="K7" s="36">
        <f t="shared" si="4"/>
        <v>13995186.518699998</v>
      </c>
      <c r="L7" s="37">
        <f>Backup!E54</f>
        <v>0.99156626506024093</v>
      </c>
      <c r="M7" s="35">
        <v>2027</v>
      </c>
    </row>
    <row r="8" spans="1:13" x14ac:dyDescent="0.25">
      <c r="A8" s="23">
        <v>2028</v>
      </c>
      <c r="B8" s="33">
        <f t="shared" si="0"/>
        <v>13876150.910399998</v>
      </c>
      <c r="C8" s="6">
        <f t="shared" si="2"/>
        <v>11248297</v>
      </c>
      <c r="D8" s="3">
        <f t="shared" si="5"/>
        <v>12373126.700000001</v>
      </c>
      <c r="E8" s="4">
        <f t="shared" si="1"/>
        <v>-1503024.2103999965</v>
      </c>
      <c r="F8" s="4">
        <f t="shared" si="3"/>
        <v>-3314168383.9319921</v>
      </c>
      <c r="G8" s="4">
        <f>F8/Backup!$D$12</f>
        <v>-181320979.6902051</v>
      </c>
      <c r="H8" s="4">
        <f t="shared" si="6"/>
        <v>-362641.9593804102</v>
      </c>
      <c r="I8" s="39">
        <f>G8/Backup!$D$9</f>
        <v>-0.1052223106363821</v>
      </c>
      <c r="K8" s="36">
        <f t="shared" si="4"/>
        <v>13876150.910399998</v>
      </c>
      <c r="L8" s="37">
        <f>Backup!E55</f>
        <v>0.99149453219927097</v>
      </c>
      <c r="M8" s="35">
        <v>2028</v>
      </c>
    </row>
    <row r="9" spans="1:13" x14ac:dyDescent="0.25">
      <c r="A9" s="23">
        <v>2029</v>
      </c>
      <c r="B9" s="33">
        <f t="shared" si="0"/>
        <v>13757115.302099997</v>
      </c>
      <c r="C9" s="6">
        <f t="shared" si="2"/>
        <v>10798365</v>
      </c>
      <c r="D9" s="3">
        <f t="shared" si="5"/>
        <v>11878201.500000002</v>
      </c>
      <c r="E9" s="4">
        <f t="shared" si="1"/>
        <v>-1878913.8020999953</v>
      </c>
      <c r="F9" s="4">
        <f t="shared" si="3"/>
        <v>-4143004933.6304898</v>
      </c>
      <c r="G9" s="4">
        <f>F9/Backup!$D$12</f>
        <v>-226667334.42673767</v>
      </c>
      <c r="H9" s="4">
        <f t="shared" si="6"/>
        <v>-453334.6688534753</v>
      </c>
      <c r="I9" s="39">
        <f>G9/Backup!$D$9</f>
        <v>-0.13153723697566858</v>
      </c>
      <c r="K9" s="36">
        <f t="shared" si="4"/>
        <v>13757115.302099997</v>
      </c>
      <c r="L9" s="37">
        <f>Backup!E56</f>
        <v>0.99142156862745101</v>
      </c>
      <c r="M9" s="35">
        <v>2029</v>
      </c>
    </row>
    <row r="10" spans="1:13" x14ac:dyDescent="0.25">
      <c r="A10" s="23">
        <v>2030</v>
      </c>
      <c r="B10" s="33">
        <f t="shared" si="0"/>
        <v>13604069.519999998</v>
      </c>
      <c r="C10" s="6">
        <f t="shared" si="2"/>
        <v>10348433</v>
      </c>
      <c r="D10" s="3">
        <f t="shared" si="5"/>
        <v>11383276.300000001</v>
      </c>
      <c r="E10" s="4">
        <f t="shared" si="1"/>
        <v>-2220793.2199999969</v>
      </c>
      <c r="F10" s="4">
        <f t="shared" si="3"/>
        <v>-4896849050.0999937</v>
      </c>
      <c r="G10" s="4">
        <f>F10/Backup!$D$12</f>
        <v>-267910789.16327059</v>
      </c>
      <c r="H10" s="4">
        <f t="shared" si="6"/>
        <v>-535821.57832654123</v>
      </c>
      <c r="I10" s="39">
        <f>G10/Backup!$D$9</f>
        <v>-0.1554712109340029</v>
      </c>
      <c r="K10" s="36">
        <f t="shared" si="4"/>
        <v>13604069.519999998</v>
      </c>
      <c r="L10" s="37">
        <f>Backup!E57</f>
        <v>0.9888751545117429</v>
      </c>
      <c r="M10" s="35">
        <v>2030</v>
      </c>
    </row>
    <row r="11" spans="1:13" x14ac:dyDescent="0.25">
      <c r="A11" s="23">
        <v>2031</v>
      </c>
      <c r="B11" s="33">
        <f t="shared" si="0"/>
        <v>13502038.998599999</v>
      </c>
      <c r="C11" s="6">
        <f t="shared" si="2"/>
        <v>9898501</v>
      </c>
      <c r="D11" s="3">
        <f t="shared" si="5"/>
        <v>10888351.100000001</v>
      </c>
      <c r="E11" s="4">
        <f t="shared" si="1"/>
        <v>-2613687.8985999972</v>
      </c>
      <c r="F11" s="4">
        <f t="shared" si="3"/>
        <v>-5763181816.4129934</v>
      </c>
      <c r="G11" s="4">
        <f>F11/Backup!$D$12</f>
        <v>-315308593.89980328</v>
      </c>
      <c r="H11" s="4">
        <f t="shared" si="6"/>
        <v>-630617.18779960659</v>
      </c>
      <c r="I11" s="39">
        <f>G11/Backup!$D$9</f>
        <v>-0.18297661346376562</v>
      </c>
      <c r="K11" s="36">
        <f t="shared" si="4"/>
        <v>13502038.998599999</v>
      </c>
      <c r="L11" s="37">
        <f>Backup!E58</f>
        <v>0.99250000000000005</v>
      </c>
      <c r="M11" s="35">
        <v>2031</v>
      </c>
    </row>
    <row r="12" spans="1:13" x14ac:dyDescent="0.25">
      <c r="A12" s="23">
        <v>2032</v>
      </c>
      <c r="B12" s="33">
        <f t="shared" si="0"/>
        <v>13383003.390299998</v>
      </c>
      <c r="C12" s="6">
        <f t="shared" si="2"/>
        <v>9448569</v>
      </c>
      <c r="D12" s="3">
        <f t="shared" si="5"/>
        <v>10393425.9</v>
      </c>
      <c r="E12" s="4">
        <f t="shared" si="1"/>
        <v>-2989577.4902999979</v>
      </c>
      <c r="F12" s="4">
        <f t="shared" si="3"/>
        <v>-6592018366.111495</v>
      </c>
      <c r="G12" s="4">
        <f>F12/Backup!$D$12</f>
        <v>-360654948.63633603</v>
      </c>
      <c r="H12" s="4">
        <f t="shared" si="6"/>
        <v>-721309.89727267204</v>
      </c>
      <c r="I12" s="39">
        <f>G12/Backup!$D$9</f>
        <v>-0.20929153980305221</v>
      </c>
      <c r="K12" s="36">
        <f t="shared" si="4"/>
        <v>13383003.390299998</v>
      </c>
      <c r="L12" s="37">
        <f>Backup!E59</f>
        <v>0.99118387909319894</v>
      </c>
      <c r="M12" s="35">
        <v>2032</v>
      </c>
    </row>
    <row r="13" spans="1:13" x14ac:dyDescent="0.25">
      <c r="G13" s="4">
        <f>SUM(G5:G12)</f>
        <v>-1619644556.4677725</v>
      </c>
      <c r="K13" s="3"/>
      <c r="L13" s="7"/>
    </row>
    <row r="14" spans="1:13" x14ac:dyDescent="0.25">
      <c r="A14" s="23" t="s">
        <v>7</v>
      </c>
      <c r="B14" s="14">
        <f>B12/B3</f>
        <v>0.9369047619047618</v>
      </c>
      <c r="C14" s="12">
        <f>C12/C3</f>
        <v>0.69999993332324295</v>
      </c>
      <c r="K14" s="3"/>
      <c r="L14" s="7"/>
    </row>
    <row r="15" spans="1:13" x14ac:dyDescent="0.25">
      <c r="A15" s="23" t="s">
        <v>54</v>
      </c>
      <c r="B15" s="14">
        <f>1-B14</f>
        <v>6.3095238095238204E-2</v>
      </c>
      <c r="C15" s="13"/>
      <c r="K15" s="3"/>
      <c r="L15" s="7"/>
    </row>
    <row r="16" spans="1:13" x14ac:dyDescent="0.25">
      <c r="B16" t="s">
        <v>3</v>
      </c>
      <c r="C16" s="3"/>
      <c r="K16" s="3"/>
      <c r="L16" s="7"/>
    </row>
    <row r="17" spans="1:14" x14ac:dyDescent="0.25">
      <c r="C17" s="1">
        <f>0.7*C3</f>
        <v>9448569.8999999985</v>
      </c>
      <c r="D17" t="s">
        <v>8</v>
      </c>
      <c r="K17" s="3"/>
      <c r="L17" s="7"/>
    </row>
    <row r="18" spans="1:14" x14ac:dyDescent="0.25">
      <c r="C18" s="3">
        <f>(C3-C12)/9</f>
        <v>449932</v>
      </c>
      <c r="D18" t="s">
        <v>60</v>
      </c>
      <c r="K18" s="3"/>
      <c r="L18" s="7"/>
    </row>
    <row r="19" spans="1:14" x14ac:dyDescent="0.25">
      <c r="C19" s="1" t="s">
        <v>3</v>
      </c>
      <c r="K19" s="3"/>
      <c r="L19" s="7"/>
    </row>
    <row r="20" spans="1:14" x14ac:dyDescent="0.25">
      <c r="A20" s="40"/>
      <c r="B20" s="41" t="s">
        <v>75</v>
      </c>
      <c r="C20" s="41" t="s">
        <v>76</v>
      </c>
      <c r="D20" s="41" t="s">
        <v>77</v>
      </c>
      <c r="E20" s="41" t="s">
        <v>76</v>
      </c>
      <c r="F20" s="41" t="s">
        <v>77</v>
      </c>
      <c r="G20" s="41" t="s">
        <v>80</v>
      </c>
      <c r="H20" s="41" t="s">
        <v>80</v>
      </c>
      <c r="I20" s="41" t="s">
        <v>14</v>
      </c>
      <c r="J20" s="41" t="s">
        <v>15</v>
      </c>
      <c r="K20" s="42" t="s">
        <v>83</v>
      </c>
      <c r="L20" s="43" t="s">
        <v>84</v>
      </c>
      <c r="M20" s="41" t="s">
        <v>85</v>
      </c>
      <c r="N20" s="41" t="s">
        <v>19</v>
      </c>
    </row>
    <row r="21" spans="1:14" x14ac:dyDescent="0.25">
      <c r="A21" s="40" t="s">
        <v>73</v>
      </c>
      <c r="B21" s="41" t="s">
        <v>74</v>
      </c>
      <c r="C21" s="41" t="s">
        <v>74</v>
      </c>
      <c r="D21" s="41" t="s">
        <v>74</v>
      </c>
      <c r="E21" s="41" t="s">
        <v>99</v>
      </c>
      <c r="F21" s="41" t="s">
        <v>99</v>
      </c>
      <c r="G21" s="41" t="s">
        <v>79</v>
      </c>
      <c r="H21" s="41" t="s">
        <v>78</v>
      </c>
      <c r="I21" s="41" t="s">
        <v>82</v>
      </c>
      <c r="J21" s="41" t="s">
        <v>82</v>
      </c>
      <c r="K21" s="42" t="s">
        <v>82</v>
      </c>
      <c r="L21" s="43" t="s">
        <v>100</v>
      </c>
      <c r="M21" s="41" t="s">
        <v>82</v>
      </c>
      <c r="N21" s="44"/>
    </row>
    <row r="22" spans="1:14" x14ac:dyDescent="0.25">
      <c r="A22" s="40">
        <v>2023</v>
      </c>
      <c r="B22" s="45">
        <v>13497957</v>
      </c>
      <c r="C22" s="46">
        <f>B22*Backup!$B$12</f>
        <v>10708055.465952415</v>
      </c>
      <c r="D22" s="46">
        <f>B22*Backup!$C$12</f>
        <v>2789901.5340475854</v>
      </c>
      <c r="E22" s="47">
        <f>2205*C22/Backup!$B$10</f>
        <v>1355106993.9195666</v>
      </c>
      <c r="F22" s="46">
        <f>2205*D22/Backup!$C$10</f>
        <v>273251864.25539529</v>
      </c>
      <c r="G22" s="46">
        <f>Backup!B9</f>
        <v>1434048000</v>
      </c>
      <c r="H22" s="46">
        <f>Backup!C9</f>
        <v>289170000</v>
      </c>
      <c r="I22" s="47">
        <f>E22-G22</f>
        <v>-78941006.080433369</v>
      </c>
      <c r="J22" s="47">
        <f>F22-H22</f>
        <v>-15918135.744604707</v>
      </c>
      <c r="K22" s="48">
        <f>0.25*I22</f>
        <v>-19735251.520108342</v>
      </c>
      <c r="L22" s="49">
        <f>0.0881*I22*1.95</f>
        <v>-13561670.139588051</v>
      </c>
      <c r="M22" s="50">
        <f>0.446*J22</f>
        <v>-7099488.5420936998</v>
      </c>
      <c r="N22" s="51">
        <f>SUM(K22:M22)</f>
        <v>-40396410.201790094</v>
      </c>
    </row>
    <row r="23" spans="1:14" x14ac:dyDescent="0.25">
      <c r="A23" s="40">
        <v>2024</v>
      </c>
      <c r="B23" s="52">
        <f>B22-449932</f>
        <v>13048025</v>
      </c>
      <c r="C23" s="46">
        <f>B23*Backup!$B$12</f>
        <v>10351120.204423066</v>
      </c>
      <c r="D23" s="46">
        <f>B23*Backup!$C$12</f>
        <v>2696904.7955769338</v>
      </c>
      <c r="E23" s="47">
        <f>2205*C23/Backup!$B$10</f>
        <v>1309936750.7495656</v>
      </c>
      <c r="F23" s="46">
        <f>2205*D23/Backup!$C$10</f>
        <v>264143466.75582114</v>
      </c>
      <c r="G23" s="47">
        <f>G22*Backup!F51</f>
        <v>1427776653.0612245</v>
      </c>
      <c r="H23" s="46">
        <f>H22*Backup!G51</f>
        <v>292925454.54545456</v>
      </c>
      <c r="I23" s="47">
        <f t="shared" ref="I23:I31" si="7">E23-G23</f>
        <v>-117839902.31165886</v>
      </c>
      <c r="J23" s="47">
        <f t="shared" ref="J23:J31" si="8">F23-H23</f>
        <v>-28781987.789633423</v>
      </c>
      <c r="K23" s="48">
        <f t="shared" ref="K23:K32" si="9">0.25*I23</f>
        <v>-29459975.577914715</v>
      </c>
      <c r="L23" s="49">
        <f t="shared" ref="L23:L32" si="10">0.0881*I23*1.95</f>
        <v>-20244306.017631434</v>
      </c>
      <c r="M23" s="50">
        <f t="shared" ref="M23:M31" si="11">0.446*J23</f>
        <v>-12836766.554176508</v>
      </c>
      <c r="N23" s="51">
        <f t="shared" ref="N23:N31" si="12">SUM(K23:M23)</f>
        <v>-62541048.149722658</v>
      </c>
    </row>
    <row r="24" spans="1:14" x14ac:dyDescent="0.25">
      <c r="A24" s="40">
        <v>2025</v>
      </c>
      <c r="B24" s="52">
        <f t="shared" ref="B24:B31" si="13">B23-449932</f>
        <v>12598093</v>
      </c>
      <c r="C24" s="46">
        <f>B24*Backup!$B$12</f>
        <v>9994184.9428937174</v>
      </c>
      <c r="D24" s="46">
        <f>B24*Backup!$C$12</f>
        <v>2603908.0571062826</v>
      </c>
      <c r="E24" s="47">
        <f>2205*C24/Backup!$B$10</f>
        <v>1264766507.5795643</v>
      </c>
      <c r="F24" s="46">
        <f>2205*D24/Backup!$C$10</f>
        <v>255035069.2562471</v>
      </c>
      <c r="G24" s="47">
        <f>G23*Backup!F52</f>
        <v>1417324408.1632652</v>
      </c>
      <c r="H24" s="46">
        <f>H23*Backup!G52</f>
        <v>294803181.81818181</v>
      </c>
      <c r="I24" s="47">
        <f t="shared" si="7"/>
        <v>-152557900.5837009</v>
      </c>
      <c r="J24" s="47">
        <f t="shared" si="8"/>
        <v>-39768112.56193471</v>
      </c>
      <c r="K24" s="48">
        <f t="shared" si="9"/>
        <v>-38139475.145925224</v>
      </c>
      <c r="L24" s="49">
        <f t="shared" si="10"/>
        <v>-26208684.530776896</v>
      </c>
      <c r="M24" s="50">
        <f t="shared" si="11"/>
        <v>-17736578.202622879</v>
      </c>
      <c r="N24" s="51">
        <f t="shared" si="12"/>
        <v>-82084737.879325002</v>
      </c>
    </row>
    <row r="25" spans="1:14" x14ac:dyDescent="0.25">
      <c r="A25" s="40">
        <v>2026</v>
      </c>
      <c r="B25" s="52">
        <f t="shared" si="13"/>
        <v>12148161</v>
      </c>
      <c r="C25" s="46">
        <f>B25*Backup!$B$12</f>
        <v>9637249.6813643686</v>
      </c>
      <c r="D25" s="46">
        <f>B25*Backup!$C$12</f>
        <v>2510911.3186356314</v>
      </c>
      <c r="E25" s="47">
        <f>2205*C25/Backup!$B$10</f>
        <v>1219596264.4095633</v>
      </c>
      <c r="F25" s="46">
        <f>2205*D25/Backup!$C$10</f>
        <v>245926671.75667301</v>
      </c>
      <c r="G25" s="47">
        <f>G24*Backup!F53</f>
        <v>1406872163.265306</v>
      </c>
      <c r="H25" s="46">
        <f>H24*Backup!G53</f>
        <v>294803181.81818181</v>
      </c>
      <c r="I25" s="47">
        <f t="shared" si="7"/>
        <v>-187275898.85574269</v>
      </c>
      <c r="J25" s="47">
        <f t="shared" si="8"/>
        <v>-48876510.061508805</v>
      </c>
      <c r="K25" s="48">
        <f t="shared" si="9"/>
        <v>-46818974.713935673</v>
      </c>
      <c r="L25" s="49">
        <f t="shared" si="10"/>
        <v>-32173063.043922316</v>
      </c>
      <c r="M25" s="50">
        <f t="shared" si="11"/>
        <v>-21798923.487432927</v>
      </c>
      <c r="N25" s="51">
        <f t="shared" si="12"/>
        <v>-100790961.24529092</v>
      </c>
    </row>
    <row r="26" spans="1:14" x14ac:dyDescent="0.25">
      <c r="A26" s="40">
        <v>2027</v>
      </c>
      <c r="B26" s="52">
        <f t="shared" si="13"/>
        <v>11698229</v>
      </c>
      <c r="C26" s="46">
        <f>B26*Backup!$B$12</f>
        <v>9280314.4198350199</v>
      </c>
      <c r="D26" s="46">
        <f>B26*Backup!$C$12</f>
        <v>2417914.5801649797</v>
      </c>
      <c r="E26" s="47">
        <f>2205*C26/Backup!$B$10</f>
        <v>1174426021.239562</v>
      </c>
      <c r="F26" s="46">
        <f>2205*D26/Backup!$C$10</f>
        <v>236818274.25709891</v>
      </c>
      <c r="G26" s="47">
        <f>G25*Backup!F54</f>
        <v>1394329469.3877549</v>
      </c>
      <c r="H26" s="46">
        <f>H25*Backup!G54</f>
        <v>292925454.54545456</v>
      </c>
      <c r="I26" s="47">
        <f t="shared" si="7"/>
        <v>-219903448.14819288</v>
      </c>
      <c r="J26" s="47">
        <f t="shared" si="8"/>
        <v>-56107180.288355649</v>
      </c>
      <c r="K26" s="48">
        <f t="shared" si="9"/>
        <v>-54975862.037048221</v>
      </c>
      <c r="L26" s="49">
        <f t="shared" si="10"/>
        <v>-37778312.874618791</v>
      </c>
      <c r="M26" s="50">
        <f t="shared" si="11"/>
        <v>-25023802.408606619</v>
      </c>
      <c r="N26" s="51">
        <f t="shared" si="12"/>
        <v>-117777977.32027364</v>
      </c>
    </row>
    <row r="27" spans="1:14" x14ac:dyDescent="0.25">
      <c r="A27" s="40">
        <v>2028</v>
      </c>
      <c r="B27" s="52">
        <f t="shared" si="13"/>
        <v>11248297</v>
      </c>
      <c r="C27" s="46">
        <f>B27*Backup!$B$12</f>
        <v>8923379.1583056711</v>
      </c>
      <c r="D27" s="46">
        <f>B27*Backup!$C$12</f>
        <v>2324917.8416943285</v>
      </c>
      <c r="E27" s="47">
        <f>2205*C27/Backup!$B$10</f>
        <v>1129255778.069561</v>
      </c>
      <c r="F27" s="46">
        <f>2205*D27/Backup!$C$10</f>
        <v>227709876.75752482</v>
      </c>
      <c r="G27" s="47">
        <f>G26*Backup!F55</f>
        <v>1379696326.530612</v>
      </c>
      <c r="H27" s="46">
        <f>H26*Backup!G55</f>
        <v>292925454.54545456</v>
      </c>
      <c r="I27" s="47">
        <f t="shared" si="7"/>
        <v>-250440548.46105099</v>
      </c>
      <c r="J27" s="47">
        <f t="shared" si="8"/>
        <v>-65215577.787929744</v>
      </c>
      <c r="K27" s="48">
        <f t="shared" si="9"/>
        <v>-62610137.115262747</v>
      </c>
      <c r="L27" s="49">
        <f t="shared" si="10"/>
        <v>-43024434.022866249</v>
      </c>
      <c r="M27" s="50">
        <f t="shared" si="11"/>
        <v>-29086147.693416666</v>
      </c>
      <c r="N27" s="51">
        <f t="shared" si="12"/>
        <v>-134720718.83154565</v>
      </c>
    </row>
    <row r="28" spans="1:14" x14ac:dyDescent="0.25">
      <c r="A28" s="40">
        <v>2029</v>
      </c>
      <c r="B28" s="52">
        <f t="shared" si="13"/>
        <v>10798365</v>
      </c>
      <c r="C28" s="46">
        <f>B28*Backup!$B$12</f>
        <v>8566443.8967763223</v>
      </c>
      <c r="D28" s="46">
        <f>B28*Backup!$C$12</f>
        <v>2231921.1032236768</v>
      </c>
      <c r="E28" s="47">
        <f>2205*C28/Backup!$B$10</f>
        <v>1084085534.89956</v>
      </c>
      <c r="F28" s="46">
        <f>2205*D28/Backup!$C$10</f>
        <v>218601479.25795072</v>
      </c>
      <c r="G28" s="47">
        <f>G27*Backup!F56</f>
        <v>1367153632.6530609</v>
      </c>
      <c r="H28" s="46">
        <f>H27*Backup!G56</f>
        <v>291047727.27272731</v>
      </c>
      <c r="I28" s="47">
        <f t="shared" si="7"/>
        <v>-283068097.75350094</v>
      </c>
      <c r="J28" s="47">
        <f t="shared" si="8"/>
        <v>-72446248.014776587</v>
      </c>
      <c r="K28" s="48">
        <f t="shared" si="9"/>
        <v>-70767024.438375235</v>
      </c>
      <c r="L28" s="49">
        <f t="shared" si="10"/>
        <v>-48629683.85356269</v>
      </c>
      <c r="M28" s="50">
        <f t="shared" si="11"/>
        <v>-32311026.614590358</v>
      </c>
      <c r="N28" s="51">
        <f t="shared" si="12"/>
        <v>-151707734.90652826</v>
      </c>
    </row>
    <row r="29" spans="1:14" x14ac:dyDescent="0.25">
      <c r="A29" s="40">
        <v>2030</v>
      </c>
      <c r="B29" s="52">
        <f t="shared" si="13"/>
        <v>10348433</v>
      </c>
      <c r="C29" s="46">
        <f>B29*Backup!$B$12</f>
        <v>8209508.6352469744</v>
      </c>
      <c r="D29" s="46">
        <f>B29*Backup!$C$12</f>
        <v>2138924.3647530256</v>
      </c>
      <c r="E29" s="47">
        <f>2205*C29/Backup!$B$10</f>
        <v>1038915291.7295589</v>
      </c>
      <c r="F29" s="46">
        <f>2205*D29/Backup!$C$10</f>
        <v>209493081.75837666</v>
      </c>
      <c r="G29" s="47">
        <f>G28*Backup!F57</f>
        <v>1352520489.795918</v>
      </c>
      <c r="H29" s="46">
        <f>H28*Backup!G57</f>
        <v>287292272.72727275</v>
      </c>
      <c r="I29" s="47">
        <f t="shared" si="7"/>
        <v>-313605198.06635904</v>
      </c>
      <c r="J29" s="47">
        <f t="shared" si="8"/>
        <v>-77799190.968896091</v>
      </c>
      <c r="K29" s="48">
        <f t="shared" si="9"/>
        <v>-78401299.516589761</v>
      </c>
      <c r="L29" s="49">
        <f t="shared" si="10"/>
        <v>-53875805.001810148</v>
      </c>
      <c r="M29" s="50">
        <f t="shared" si="11"/>
        <v>-34698439.172127657</v>
      </c>
      <c r="N29" s="51">
        <f t="shared" si="12"/>
        <v>-166975543.69052756</v>
      </c>
    </row>
    <row r="30" spans="1:14" x14ac:dyDescent="0.25">
      <c r="A30" s="40">
        <v>2031</v>
      </c>
      <c r="B30" s="52">
        <f t="shared" si="13"/>
        <v>9898501</v>
      </c>
      <c r="C30" s="46">
        <f>B30*Backup!$B$12</f>
        <v>7852573.3737176256</v>
      </c>
      <c r="D30" s="46">
        <f>B30*Backup!$C$12</f>
        <v>2045927.6262823741</v>
      </c>
      <c r="E30" s="47">
        <f>2205*C30/Backup!$B$10</f>
        <v>993745048.5595578</v>
      </c>
      <c r="F30" s="46">
        <f>2205*D30/Backup!$C$10</f>
        <v>200384684.25880256</v>
      </c>
      <c r="G30" s="47">
        <f>G29*Backup!F58</f>
        <v>1342068244.8979588</v>
      </c>
      <c r="H30" s="46">
        <f>H29*Backup!G58</f>
        <v>285414545.4545455</v>
      </c>
      <c r="I30" s="47">
        <f t="shared" si="7"/>
        <v>-348323196.33840096</v>
      </c>
      <c r="J30" s="47">
        <f t="shared" si="8"/>
        <v>-85029861.195742935</v>
      </c>
      <c r="K30" s="48">
        <f t="shared" si="9"/>
        <v>-87080799.08460024</v>
      </c>
      <c r="L30" s="49">
        <f t="shared" si="10"/>
        <v>-59840183.514955588</v>
      </c>
      <c r="M30" s="50">
        <f t="shared" si="11"/>
        <v>-37923318.093301348</v>
      </c>
      <c r="N30" s="51">
        <f t="shared" si="12"/>
        <v>-184844300.69285718</v>
      </c>
    </row>
    <row r="31" spans="1:14" x14ac:dyDescent="0.25">
      <c r="A31" s="40">
        <v>2032</v>
      </c>
      <c r="B31" s="52">
        <f t="shared" si="13"/>
        <v>9448569</v>
      </c>
      <c r="C31" s="46">
        <f>B31*Backup!$B$12</f>
        <v>7495638.1121882768</v>
      </c>
      <c r="D31" s="46">
        <f>B31*Backup!$C$12</f>
        <v>1952930.8878117229</v>
      </c>
      <c r="E31" s="47">
        <f>2205*C31/Backup!$B$10</f>
        <v>948574805.38955677</v>
      </c>
      <c r="F31" s="46">
        <f>2205*D31/Backup!$C$10</f>
        <v>191276286.7592285</v>
      </c>
      <c r="G31" s="47">
        <f>G30*Backup!F59</f>
        <v>1329525551.0204077</v>
      </c>
      <c r="H31" s="46">
        <f>H30*Backup!G59</f>
        <v>283536818.18181825</v>
      </c>
      <c r="I31" s="47">
        <f t="shared" si="7"/>
        <v>-380950745.63085091</v>
      </c>
      <c r="J31" s="47">
        <f t="shared" si="8"/>
        <v>-92260531.422589749</v>
      </c>
      <c r="K31" s="48">
        <f t="shared" si="9"/>
        <v>-95237686.407712728</v>
      </c>
      <c r="L31" s="49">
        <f t="shared" si="10"/>
        <v>-65445433.345652036</v>
      </c>
      <c r="M31" s="50">
        <f t="shared" si="11"/>
        <v>-41148197.014475025</v>
      </c>
      <c r="N31" s="51">
        <f t="shared" si="12"/>
        <v>-201831316.76783979</v>
      </c>
    </row>
    <row r="32" spans="1:14" x14ac:dyDescent="0.25">
      <c r="A32" s="40"/>
      <c r="B32" s="44"/>
      <c r="C32" s="44"/>
      <c r="D32" s="44"/>
      <c r="E32" s="44"/>
      <c r="F32" s="44"/>
      <c r="G32" s="53">
        <f>G31/G22</f>
        <v>0.92711370262390635</v>
      </c>
      <c r="H32" s="53">
        <f>H31/H22</f>
        <v>0.98051948051948079</v>
      </c>
      <c r="I32" s="47">
        <f>SUM(I22:I31)</f>
        <v>-2332905942.2298913</v>
      </c>
      <c r="J32" s="47">
        <f>SUM(J22:J31)</f>
        <v>-582203335.83597243</v>
      </c>
      <c r="K32" s="46">
        <f t="shared" si="9"/>
        <v>-583226485.55747283</v>
      </c>
      <c r="L32" s="54">
        <f t="shared" si="10"/>
        <v>-400781576.34538418</v>
      </c>
      <c r="M32" s="44"/>
      <c r="N32" s="44"/>
    </row>
    <row r="33" spans="1:14" x14ac:dyDescent="0.25">
      <c r="A33" s="40"/>
      <c r="B33" s="44"/>
      <c r="C33" s="44"/>
      <c r="D33" s="44"/>
      <c r="E33" s="44"/>
      <c r="F33" s="44"/>
      <c r="G33" s="44"/>
      <c r="H33" s="44"/>
      <c r="I33" s="44"/>
      <c r="J33" s="44"/>
      <c r="K33" s="55">
        <f>SUM(K22:K32)</f>
        <v>-1166452971.1149457</v>
      </c>
      <c r="L33" s="55">
        <f t="shared" ref="L33:M33" si="14">SUM(L22:L32)</f>
        <v>-801563152.69076836</v>
      </c>
      <c r="M33" s="55">
        <f t="shared" si="14"/>
        <v>-259662687.78284371</v>
      </c>
      <c r="N33" s="57">
        <f>SUM(N22:N31)</f>
        <v>-1243670749.6857009</v>
      </c>
    </row>
    <row r="34" spans="1:14" x14ac:dyDescent="0.25">
      <c r="K34" s="10"/>
      <c r="L34" s="11"/>
    </row>
    <row r="35" spans="1:14" x14ac:dyDescent="0.25">
      <c r="A35" s="40"/>
      <c r="B35" s="58" t="s">
        <v>75</v>
      </c>
      <c r="C35" s="58" t="s">
        <v>90</v>
      </c>
      <c r="D35" s="58" t="s">
        <v>92</v>
      </c>
      <c r="E35" s="58" t="s">
        <v>94</v>
      </c>
      <c r="F35" s="58" t="s">
        <v>96</v>
      </c>
      <c r="G35" s="44"/>
      <c r="K35" s="10"/>
      <c r="L35" s="11"/>
    </row>
    <row r="36" spans="1:14" x14ac:dyDescent="0.25">
      <c r="A36" s="40" t="s">
        <v>86</v>
      </c>
      <c r="B36" s="58" t="s">
        <v>74</v>
      </c>
      <c r="C36" s="58" t="s">
        <v>91</v>
      </c>
      <c r="D36" s="58" t="s">
        <v>93</v>
      </c>
      <c r="E36" s="58" t="s">
        <v>95</v>
      </c>
      <c r="F36" s="58" t="s">
        <v>97</v>
      </c>
      <c r="G36" s="44"/>
      <c r="K36" s="3"/>
      <c r="L36" s="7" t="s">
        <v>101</v>
      </c>
    </row>
    <row r="37" spans="1:14" x14ac:dyDescent="0.25">
      <c r="A37" s="40">
        <v>2023</v>
      </c>
      <c r="B37" s="45">
        <v>13497957</v>
      </c>
      <c r="C37" s="59">
        <f>Backup!K16</f>
        <v>9.25</v>
      </c>
      <c r="D37" s="60">
        <f>B37*C37</f>
        <v>124856102.25</v>
      </c>
      <c r="E37" s="60">
        <f>0.45*D37</f>
        <v>56185246.012500003</v>
      </c>
      <c r="F37" s="51">
        <f>E37+N22</f>
        <v>15788835.810709909</v>
      </c>
      <c r="G37" s="44"/>
      <c r="K37" s="3"/>
      <c r="L37" s="7" t="s">
        <v>102</v>
      </c>
    </row>
    <row r="38" spans="1:14" x14ac:dyDescent="0.25">
      <c r="A38" s="40">
        <v>2024</v>
      </c>
      <c r="B38" s="52">
        <f>B37-449932</f>
        <v>13048025</v>
      </c>
      <c r="C38" s="59">
        <f>Backup!K17</f>
        <v>10.205</v>
      </c>
      <c r="D38" s="60">
        <f t="shared" ref="D38:D46" si="15">B38*C38</f>
        <v>133155095.125</v>
      </c>
      <c r="E38" s="60">
        <f t="shared" ref="E38:E46" si="16">0.45*D38</f>
        <v>59919792.806249999</v>
      </c>
      <c r="F38" s="51">
        <f t="shared" ref="F38:F46" si="17">E38+N23</f>
        <v>-2621255.3434726596</v>
      </c>
      <c r="G38" s="44"/>
      <c r="K38" s="3"/>
      <c r="L38" s="7"/>
    </row>
    <row r="39" spans="1:14" x14ac:dyDescent="0.25">
      <c r="A39" s="40">
        <v>2025</v>
      </c>
      <c r="B39" s="52">
        <f t="shared" ref="B39:B46" si="18">B38-449932</f>
        <v>12598093</v>
      </c>
      <c r="C39" s="59">
        <f>Backup!K18</f>
        <v>11.265000000000001</v>
      </c>
      <c r="D39" s="60">
        <f t="shared" si="15"/>
        <v>141917517.64500001</v>
      </c>
      <c r="E39" s="60">
        <f t="shared" si="16"/>
        <v>63862882.940250009</v>
      </c>
      <c r="F39" s="51">
        <f t="shared" si="17"/>
        <v>-18221854.939074993</v>
      </c>
      <c r="G39" s="44"/>
      <c r="K39" s="3"/>
      <c r="L39" s="7"/>
    </row>
    <row r="40" spans="1:14" x14ac:dyDescent="0.25">
      <c r="A40" s="40">
        <v>2026</v>
      </c>
      <c r="B40" s="52">
        <f t="shared" si="18"/>
        <v>12148161</v>
      </c>
      <c r="C40" s="59">
        <f>Backup!K19</f>
        <v>12.44</v>
      </c>
      <c r="D40" s="60">
        <f t="shared" si="15"/>
        <v>151123122.84</v>
      </c>
      <c r="E40" s="60">
        <f t="shared" si="16"/>
        <v>68005405.277999997</v>
      </c>
      <c r="F40" s="51">
        <f t="shared" si="17"/>
        <v>-32785555.967290923</v>
      </c>
      <c r="G40" s="44"/>
      <c r="K40" s="3"/>
      <c r="L40" s="7"/>
    </row>
    <row r="41" spans="1:14" x14ac:dyDescent="0.25">
      <c r="A41" s="40">
        <v>2027</v>
      </c>
      <c r="B41" s="52">
        <f t="shared" si="18"/>
        <v>11698229</v>
      </c>
      <c r="C41" s="59">
        <f>Backup!K20</f>
        <v>13.73</v>
      </c>
      <c r="D41" s="60">
        <f t="shared" si="15"/>
        <v>160616684.17000002</v>
      </c>
      <c r="E41" s="60">
        <f t="shared" si="16"/>
        <v>72277507.87650001</v>
      </c>
      <c r="F41" s="51">
        <f t="shared" si="17"/>
        <v>-45500469.443773627</v>
      </c>
      <c r="G41" s="44"/>
      <c r="K41" s="3"/>
      <c r="L41" s="7"/>
    </row>
    <row r="42" spans="1:14" x14ac:dyDescent="0.25">
      <c r="A42" s="40">
        <v>2028</v>
      </c>
      <c r="B42" s="52">
        <f t="shared" si="18"/>
        <v>11248297</v>
      </c>
      <c r="C42" s="59">
        <f>Backup!K21</f>
        <v>15.164999999999999</v>
      </c>
      <c r="D42" s="60">
        <f t="shared" si="15"/>
        <v>170580424.005</v>
      </c>
      <c r="E42" s="60">
        <f t="shared" si="16"/>
        <v>76761190.802249998</v>
      </c>
      <c r="F42" s="51">
        <f t="shared" si="17"/>
        <v>-57959528.029295653</v>
      </c>
      <c r="G42" s="44"/>
      <c r="K42" s="3"/>
      <c r="L42" s="7"/>
    </row>
    <row r="43" spans="1:14" x14ac:dyDescent="0.25">
      <c r="A43" s="40">
        <v>2029</v>
      </c>
      <c r="B43" s="52">
        <f t="shared" si="18"/>
        <v>10798365</v>
      </c>
      <c r="C43" s="59">
        <f>Backup!K22</f>
        <v>16.754999999999999</v>
      </c>
      <c r="D43" s="60">
        <f t="shared" si="15"/>
        <v>180926605.57499999</v>
      </c>
      <c r="E43" s="60">
        <f t="shared" si="16"/>
        <v>81416972.508749992</v>
      </c>
      <c r="F43" s="51">
        <f t="shared" si="17"/>
        <v>-70290762.397778273</v>
      </c>
      <c r="G43" s="44"/>
      <c r="K43" s="3"/>
      <c r="L43" s="7"/>
    </row>
    <row r="44" spans="1:14" x14ac:dyDescent="0.25">
      <c r="A44" s="40">
        <v>2030</v>
      </c>
      <c r="B44" s="52">
        <f t="shared" si="18"/>
        <v>10348433</v>
      </c>
      <c r="C44" s="59">
        <f>Backup!K23</f>
        <v>18.509999999999998</v>
      </c>
      <c r="D44" s="60">
        <f t="shared" si="15"/>
        <v>191549494.82999998</v>
      </c>
      <c r="E44" s="60">
        <f t="shared" si="16"/>
        <v>86197272.673500001</v>
      </c>
      <c r="F44" s="51">
        <f t="shared" si="17"/>
        <v>-80778271.017027557</v>
      </c>
      <c r="G44" s="44"/>
      <c r="K44" s="3"/>
      <c r="L44" s="7"/>
    </row>
    <row r="45" spans="1:14" x14ac:dyDescent="0.25">
      <c r="A45" s="40">
        <v>2031</v>
      </c>
      <c r="B45" s="52">
        <f t="shared" si="18"/>
        <v>9898501</v>
      </c>
      <c r="C45" s="59">
        <f>Backup!K24</f>
        <v>19.830000000000002</v>
      </c>
      <c r="D45" s="60">
        <f t="shared" si="15"/>
        <v>196287274.83000001</v>
      </c>
      <c r="E45" s="60">
        <f t="shared" si="16"/>
        <v>88329273.673500001</v>
      </c>
      <c r="F45" s="51">
        <f t="shared" si="17"/>
        <v>-96515027.019357175</v>
      </c>
      <c r="G45" s="44"/>
      <c r="K45" s="3"/>
      <c r="L45" s="7"/>
    </row>
    <row r="46" spans="1:14" x14ac:dyDescent="0.25">
      <c r="A46" s="40">
        <v>2032</v>
      </c>
      <c r="B46" s="52">
        <f t="shared" si="18"/>
        <v>9448569</v>
      </c>
      <c r="C46" s="59">
        <f>Backup!K25</f>
        <v>21.23</v>
      </c>
      <c r="D46" s="60">
        <f t="shared" si="15"/>
        <v>200593119.87</v>
      </c>
      <c r="E46" s="60">
        <f t="shared" si="16"/>
        <v>90266903.941500008</v>
      </c>
      <c r="F46" s="51">
        <f t="shared" si="17"/>
        <v>-111564412.82633978</v>
      </c>
      <c r="G46" s="44"/>
      <c r="K46" s="3"/>
      <c r="L46" s="7"/>
    </row>
    <row r="47" spans="1:14" x14ac:dyDescent="0.25">
      <c r="A47" s="40"/>
      <c r="B47" s="44"/>
      <c r="C47" s="44"/>
      <c r="D47" s="44"/>
      <c r="E47" s="59"/>
      <c r="F47" s="44"/>
      <c r="G47" s="44"/>
      <c r="K47" s="3"/>
      <c r="L47" s="7"/>
    </row>
    <row r="48" spans="1:14" x14ac:dyDescent="0.25">
      <c r="A48" s="40"/>
      <c r="B48" s="44"/>
      <c r="C48" s="44"/>
      <c r="D48" s="60">
        <f>SUM(D37:D47)</f>
        <v>1651605441.1399999</v>
      </c>
      <c r="E48" s="60">
        <f>SUM(E37:E47)</f>
        <v>743222448.51300001</v>
      </c>
      <c r="F48" s="57">
        <f>SUM(F37:F47)</f>
        <v>-500448301.1727007</v>
      </c>
      <c r="G48" s="44" t="s">
        <v>98</v>
      </c>
      <c r="K48" s="3"/>
      <c r="L48" s="7"/>
    </row>
    <row r="49" spans="11:12" x14ac:dyDescent="0.25">
      <c r="K49" s="3"/>
      <c r="L49" s="7"/>
    </row>
    <row r="50" spans="11:12" x14ac:dyDescent="0.25">
      <c r="K50" s="3"/>
      <c r="L50" s="7"/>
    </row>
    <row r="51" spans="11:12" x14ac:dyDescent="0.25">
      <c r="K51" s="3"/>
      <c r="L51" s="7"/>
    </row>
    <row r="52" spans="11:12" x14ac:dyDescent="0.25">
      <c r="K52" s="3"/>
      <c r="L52" s="7"/>
    </row>
    <row r="53" spans="11:12" x14ac:dyDescent="0.25">
      <c r="K53" s="3"/>
      <c r="L53" s="7"/>
    </row>
    <row r="54" spans="11:12" x14ac:dyDescent="0.25">
      <c r="K54" s="3"/>
      <c r="L54" s="7"/>
    </row>
    <row r="55" spans="11:12" x14ac:dyDescent="0.25">
      <c r="K55" s="3"/>
      <c r="L55" s="7"/>
    </row>
    <row r="56" spans="11:12" x14ac:dyDescent="0.25">
      <c r="K56" s="3"/>
      <c r="L56" s="7"/>
    </row>
    <row r="57" spans="11:12" x14ac:dyDescent="0.25">
      <c r="K57" s="3"/>
      <c r="L57" s="7"/>
    </row>
    <row r="58" spans="11:12" x14ac:dyDescent="0.25">
      <c r="K58" s="3"/>
      <c r="L58" s="7"/>
    </row>
    <row r="59" spans="11:12" x14ac:dyDescent="0.25">
      <c r="K59" s="3"/>
      <c r="L59" s="7"/>
    </row>
    <row r="60" spans="11:12" x14ac:dyDescent="0.25">
      <c r="K60" s="3"/>
      <c r="L60" s="7"/>
    </row>
    <row r="61" spans="11:12" x14ac:dyDescent="0.25">
      <c r="K61" s="3"/>
      <c r="L61" s="7"/>
    </row>
    <row r="62" spans="11:12" x14ac:dyDescent="0.25">
      <c r="K62" s="3"/>
      <c r="L62" s="7"/>
    </row>
    <row r="63" spans="11:12" x14ac:dyDescent="0.25">
      <c r="K63" s="3"/>
      <c r="L63" s="7"/>
    </row>
    <row r="64" spans="11:12" x14ac:dyDescent="0.25">
      <c r="K64" s="3"/>
      <c r="L64" s="7"/>
    </row>
    <row r="65" spans="11:12" x14ac:dyDescent="0.25">
      <c r="K65" s="3"/>
      <c r="L65" s="7"/>
    </row>
    <row r="66" spans="11:12" x14ac:dyDescent="0.25">
      <c r="K66" s="3"/>
      <c r="L66" s="7"/>
    </row>
    <row r="67" spans="11:12" x14ac:dyDescent="0.25">
      <c r="K67" s="3"/>
      <c r="L67" s="7"/>
    </row>
    <row r="68" spans="11:12" x14ac:dyDescent="0.25">
      <c r="K68" s="3"/>
      <c r="L68" s="7"/>
    </row>
    <row r="69" spans="11:12" x14ac:dyDescent="0.25">
      <c r="K69" s="3"/>
      <c r="L69" s="7"/>
    </row>
    <row r="70" spans="11:12" x14ac:dyDescent="0.25">
      <c r="K70" s="3"/>
      <c r="L70" s="7"/>
    </row>
    <row r="71" spans="11:12" x14ac:dyDescent="0.25">
      <c r="K71" s="3"/>
      <c r="L71" s="7"/>
    </row>
    <row r="72" spans="11:12" x14ac:dyDescent="0.25">
      <c r="K72" s="3"/>
      <c r="L72" s="7"/>
    </row>
    <row r="73" spans="11:12" x14ac:dyDescent="0.25">
      <c r="K73" s="3"/>
      <c r="L73" s="7"/>
    </row>
    <row r="74" spans="11:12" x14ac:dyDescent="0.25">
      <c r="K74" s="3"/>
      <c r="L74" s="7"/>
    </row>
    <row r="75" spans="11:12" x14ac:dyDescent="0.25">
      <c r="K75" s="3"/>
      <c r="L75" s="7"/>
    </row>
    <row r="76" spans="11:12" x14ac:dyDescent="0.25">
      <c r="K76" s="3"/>
      <c r="L76" s="7"/>
    </row>
    <row r="77" spans="11:12" x14ac:dyDescent="0.25">
      <c r="K77" s="3"/>
      <c r="L77" s="7"/>
    </row>
    <row r="78" spans="11:12" x14ac:dyDescent="0.25">
      <c r="K78" s="3"/>
      <c r="L78" s="7"/>
    </row>
    <row r="79" spans="11:12" x14ac:dyDescent="0.25">
      <c r="K79" s="3"/>
      <c r="L79" s="7"/>
    </row>
    <row r="80" spans="11:12" x14ac:dyDescent="0.25">
      <c r="K80" s="3"/>
      <c r="L80" s="7"/>
    </row>
    <row r="81" spans="11:12" x14ac:dyDescent="0.25">
      <c r="K81" s="3"/>
      <c r="L81" s="7"/>
    </row>
    <row r="82" spans="11:12" x14ac:dyDescent="0.25">
      <c r="K82" s="3"/>
      <c r="L82" s="7"/>
    </row>
    <row r="83" spans="11:12" x14ac:dyDescent="0.25">
      <c r="K83" s="3"/>
      <c r="L83" s="7"/>
    </row>
    <row r="84" spans="11:12" x14ac:dyDescent="0.25">
      <c r="K84" s="3"/>
      <c r="L84" s="7"/>
    </row>
    <row r="85" spans="11:12" x14ac:dyDescent="0.25">
      <c r="K85" s="3"/>
      <c r="L85" s="7"/>
    </row>
    <row r="86" spans="11:12" x14ac:dyDescent="0.25">
      <c r="K86" s="3"/>
      <c r="L86" s="7"/>
    </row>
    <row r="87" spans="11:12" x14ac:dyDescent="0.25">
      <c r="K87" s="3"/>
      <c r="L87" s="7"/>
    </row>
    <row r="88" spans="11:12" x14ac:dyDescent="0.25">
      <c r="K88" s="3"/>
      <c r="L88" s="7"/>
    </row>
    <row r="89" spans="11:12" x14ac:dyDescent="0.25">
      <c r="K89" s="3"/>
      <c r="L89" s="7"/>
    </row>
    <row r="90" spans="11:12" x14ac:dyDescent="0.25">
      <c r="K90" s="3"/>
      <c r="L90" s="7"/>
    </row>
    <row r="91" spans="11:12" x14ac:dyDescent="0.25">
      <c r="K91" s="3"/>
      <c r="L91" s="7"/>
    </row>
    <row r="92" spans="11:12" x14ac:dyDescent="0.25">
      <c r="K92" s="3"/>
      <c r="L92" s="7"/>
    </row>
    <row r="93" spans="11:12" x14ac:dyDescent="0.25">
      <c r="K93" s="3"/>
      <c r="L93" s="7"/>
    </row>
    <row r="94" spans="11:12" x14ac:dyDescent="0.25">
      <c r="K94" s="3"/>
      <c r="L94" s="7"/>
    </row>
    <row r="95" spans="11:12" x14ac:dyDescent="0.25">
      <c r="K95" s="3"/>
      <c r="L95" s="7"/>
    </row>
    <row r="96" spans="11:12" x14ac:dyDescent="0.25">
      <c r="K96" s="3"/>
      <c r="L96" s="7"/>
    </row>
    <row r="97" spans="11:12" x14ac:dyDescent="0.25">
      <c r="K97" s="3"/>
      <c r="L97" s="7"/>
    </row>
    <row r="98" spans="11:12" x14ac:dyDescent="0.25">
      <c r="K98" s="3"/>
      <c r="L98" s="7"/>
    </row>
  </sheetData>
  <dataValidations count="1">
    <dataValidation type="list" allowBlank="1" showInputMessage="1" showErrorMessage="1" sqref="B2" xr:uid="{00000000-0002-0000-0100-000000000000}">
      <formula1>$K$2:$K$98</formula1>
    </dataValidation>
  </dataValidations>
  <pageMargins left="0.25" right="0.25" top="0.75" bottom="0.75" header="0.3" footer="0.3"/>
  <pageSetup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9"/>
  <sheetViews>
    <sheetView zoomScale="80" zoomScaleNormal="80" workbookViewId="0">
      <selection activeCell="N33" sqref="N33"/>
    </sheetView>
  </sheetViews>
  <sheetFormatPr defaultColWidth="11" defaultRowHeight="15.75" x14ac:dyDescent="0.25"/>
  <cols>
    <col min="1" max="1" width="11" style="23"/>
    <col min="2" max="2" width="26.875" bestFit="1" customWidth="1"/>
    <col min="3" max="3" width="18.625" customWidth="1"/>
    <col min="4" max="4" width="17.25" customWidth="1"/>
    <col min="5" max="5" width="17.625" customWidth="1"/>
    <col min="6" max="6" width="18.625" customWidth="1"/>
    <col min="7" max="7" width="16" customWidth="1"/>
    <col min="8" max="8" width="15.625" customWidth="1"/>
    <col min="9" max="9" width="19" customWidth="1"/>
    <col min="10" max="10" width="16" customWidth="1"/>
    <col min="11" max="11" width="14.5" customWidth="1"/>
    <col min="12" max="12" width="13" customWidth="1"/>
  </cols>
  <sheetData>
    <row r="1" spans="1:13" ht="78.75" x14ac:dyDescent="0.25">
      <c r="A1" s="23" t="s">
        <v>57</v>
      </c>
      <c r="B1" s="2" t="s">
        <v>0</v>
      </c>
      <c r="C1" s="2" t="s">
        <v>1</v>
      </c>
      <c r="D1" s="5" t="s">
        <v>2</v>
      </c>
      <c r="E1" s="2" t="s">
        <v>4</v>
      </c>
      <c r="F1" s="2" t="s">
        <v>55</v>
      </c>
      <c r="G1" s="2" t="s">
        <v>58</v>
      </c>
      <c r="H1" s="2" t="s">
        <v>6</v>
      </c>
      <c r="L1" t="s">
        <v>56</v>
      </c>
    </row>
    <row r="2" spans="1:13" x14ac:dyDescent="0.25">
      <c r="A2" s="23">
        <v>2019</v>
      </c>
      <c r="B2" s="1">
        <f>Backup!D24</f>
        <v>25705507.043999996</v>
      </c>
      <c r="C2" s="2"/>
      <c r="D2" s="5"/>
      <c r="E2" s="2"/>
      <c r="F2" s="2"/>
      <c r="G2" s="2"/>
      <c r="H2" s="2"/>
      <c r="K2" s="33">
        <f>Backup!D24</f>
        <v>25705507.043999996</v>
      </c>
      <c r="L2" s="34"/>
      <c r="M2" s="35"/>
    </row>
    <row r="3" spans="1:13" x14ac:dyDescent="0.25">
      <c r="A3" s="23">
        <v>2023</v>
      </c>
      <c r="B3" s="33">
        <f>K3</f>
        <v>25705507.043999996</v>
      </c>
      <c r="C3" s="1">
        <v>24467216</v>
      </c>
      <c r="D3" s="3">
        <f>C3*1.1</f>
        <v>26913937.600000001</v>
      </c>
      <c r="E3" s="4">
        <f>D3-B3</f>
        <v>1208430.5560000055</v>
      </c>
      <c r="F3" s="4"/>
      <c r="G3" s="4">
        <f>F3/Backup!$D$22</f>
        <v>0</v>
      </c>
      <c r="H3" s="4">
        <f t="shared" ref="H3:H4" si="0">G3/500</f>
        <v>0</v>
      </c>
      <c r="K3" s="36">
        <f>K2</f>
        <v>25705507.043999996</v>
      </c>
      <c r="L3" s="34"/>
      <c r="M3" s="35">
        <v>2023</v>
      </c>
    </row>
    <row r="4" spans="1:13" x14ac:dyDescent="0.25">
      <c r="A4" s="23">
        <v>2024</v>
      </c>
      <c r="B4" s="33">
        <f t="shared" ref="B4:B12" si="1">K4</f>
        <v>25674905.249899995</v>
      </c>
      <c r="C4" s="6">
        <f>C3-$C$18</f>
        <v>23651642.133333333</v>
      </c>
      <c r="D4" s="3">
        <f>C4*1.1</f>
        <v>26016806.346666668</v>
      </c>
      <c r="E4" s="4">
        <f t="shared" ref="E4:E12" si="2">D4-B4</f>
        <v>341901.09676667303</v>
      </c>
      <c r="F4" s="4"/>
      <c r="G4" s="4">
        <f>F4/Backup!$D$22</f>
        <v>0</v>
      </c>
      <c r="H4" s="4">
        <f t="shared" si="0"/>
        <v>0</v>
      </c>
      <c r="K4" s="36">
        <f>K3*L4</f>
        <v>25674905.249899995</v>
      </c>
      <c r="L4" s="37">
        <f>Backup!E51</f>
        <v>0.99880952380952381</v>
      </c>
      <c r="M4" s="35">
        <v>2024</v>
      </c>
    </row>
    <row r="5" spans="1:13" x14ac:dyDescent="0.25">
      <c r="A5" s="23">
        <v>2025</v>
      </c>
      <c r="B5" s="33">
        <f t="shared" si="1"/>
        <v>25552498.073499996</v>
      </c>
      <c r="C5" s="6">
        <f t="shared" ref="C5:C11" si="3">C4-$C$18</f>
        <v>22836068.266666666</v>
      </c>
      <c r="D5" s="3">
        <f>C5*1.1</f>
        <v>25119675.093333334</v>
      </c>
      <c r="E5" s="4">
        <f t="shared" si="2"/>
        <v>-432822.98016666248</v>
      </c>
      <c r="F5" s="4">
        <f t="shared" ref="F5:F12" si="4">2205*E5</f>
        <v>-954374671.26749074</v>
      </c>
      <c r="G5" s="4">
        <f>F5/Backup!$D$22</f>
        <v>-52473880.855479851</v>
      </c>
      <c r="H5" s="4">
        <f>G5/500</f>
        <v>-104947.7617109597</v>
      </c>
      <c r="K5" s="36">
        <f t="shared" ref="K5:K12" si="5">K4*L5</f>
        <v>25552498.073499996</v>
      </c>
      <c r="L5" s="37">
        <f>Backup!E52</f>
        <v>0.99523241954707986</v>
      </c>
      <c r="M5" s="35">
        <v>2025</v>
      </c>
    </row>
    <row r="6" spans="1:13" x14ac:dyDescent="0.25">
      <c r="A6" s="23">
        <v>2026</v>
      </c>
      <c r="B6" s="33">
        <f t="shared" si="1"/>
        <v>25399489.102999996</v>
      </c>
      <c r="C6" s="6">
        <f t="shared" si="3"/>
        <v>22020494.399999999</v>
      </c>
      <c r="D6" s="3">
        <f t="shared" ref="D6:D12" si="6">C6*1.1</f>
        <v>24222543.84</v>
      </c>
      <c r="E6" s="4">
        <f t="shared" si="2"/>
        <v>-1176945.2629999965</v>
      </c>
      <c r="F6" s="4">
        <f t="shared" si="4"/>
        <v>-2595164304.9149923</v>
      </c>
      <c r="G6" s="4">
        <f>F6/Backup!$D$22</f>
        <v>-142688554.75349849</v>
      </c>
      <c r="H6" s="4">
        <f t="shared" ref="H6:H12" si="7">G6/500</f>
        <v>-285377.10950699699</v>
      </c>
      <c r="K6" s="36">
        <f t="shared" si="5"/>
        <v>25399489.102999996</v>
      </c>
      <c r="L6" s="37">
        <f>Backup!E53</f>
        <v>0.99401197604790414</v>
      </c>
      <c r="M6" s="35">
        <v>2026</v>
      </c>
    </row>
    <row r="7" spans="1:13" x14ac:dyDescent="0.25">
      <c r="A7" s="23">
        <v>2027</v>
      </c>
      <c r="B7" s="33">
        <f t="shared" si="1"/>
        <v>25185276.544299994</v>
      </c>
      <c r="C7" s="6">
        <f t="shared" si="3"/>
        <v>21204920.533333331</v>
      </c>
      <c r="D7" s="3">
        <f t="shared" si="6"/>
        <v>23325412.586666666</v>
      </c>
      <c r="E7" s="4">
        <f t="shared" si="2"/>
        <v>-1859863.9576333277</v>
      </c>
      <c r="F7" s="4">
        <f t="shared" si="4"/>
        <v>-4101000026.5814877</v>
      </c>
      <c r="G7" s="4">
        <f>F7/Backup!$D$22</f>
        <v>-225483128.65151682</v>
      </c>
      <c r="H7" s="4">
        <f t="shared" si="7"/>
        <v>-450966.25730303366</v>
      </c>
      <c r="K7" s="36">
        <f t="shared" si="5"/>
        <v>25185276.544299994</v>
      </c>
      <c r="L7" s="37">
        <f>Backup!E54</f>
        <v>0.99156626506024093</v>
      </c>
      <c r="M7" s="35">
        <v>2027</v>
      </c>
    </row>
    <row r="8" spans="1:13" x14ac:dyDescent="0.25">
      <c r="A8" s="23">
        <v>2028</v>
      </c>
      <c r="B8" s="33">
        <f t="shared" si="1"/>
        <v>24971063.985599995</v>
      </c>
      <c r="C8" s="6">
        <f t="shared" si="3"/>
        <v>20389346.666666664</v>
      </c>
      <c r="D8" s="3">
        <f t="shared" si="6"/>
        <v>22428281.333333332</v>
      </c>
      <c r="E8" s="4">
        <f t="shared" si="2"/>
        <v>-2542782.6522666626</v>
      </c>
      <c r="F8" s="4">
        <f t="shared" si="4"/>
        <v>-5606835748.2479906</v>
      </c>
      <c r="G8" s="4">
        <f>F8/Backup!$D$22</f>
        <v>-308277702.54953557</v>
      </c>
      <c r="H8" s="4">
        <f t="shared" si="7"/>
        <v>-616555.4050990711</v>
      </c>
      <c r="K8" s="36">
        <f t="shared" si="5"/>
        <v>24971063.985599995</v>
      </c>
      <c r="L8" s="37">
        <f>Backup!E55</f>
        <v>0.99149453219927097</v>
      </c>
      <c r="M8" s="35">
        <v>2028</v>
      </c>
    </row>
    <row r="9" spans="1:13" x14ac:dyDescent="0.25">
      <c r="A9" s="23">
        <v>2029</v>
      </c>
      <c r="B9" s="33">
        <f t="shared" si="1"/>
        <v>24756851.426899996</v>
      </c>
      <c r="C9" s="6">
        <f t="shared" si="3"/>
        <v>19573772.799999997</v>
      </c>
      <c r="D9" s="3">
        <f t="shared" si="6"/>
        <v>21531150.079999998</v>
      </c>
      <c r="E9" s="4">
        <f t="shared" si="2"/>
        <v>-3225701.3468999974</v>
      </c>
      <c r="F9" s="4">
        <f t="shared" si="4"/>
        <v>-7112671469.9144945</v>
      </c>
      <c r="G9" s="4">
        <f>F9/Backup!$D$22</f>
        <v>-391072276.44755435</v>
      </c>
      <c r="H9" s="4">
        <f t="shared" si="7"/>
        <v>-782144.5528951087</v>
      </c>
      <c r="K9" s="36">
        <f t="shared" si="5"/>
        <v>24756851.426899996</v>
      </c>
      <c r="L9" s="37">
        <f>Backup!E56</f>
        <v>0.99142156862745101</v>
      </c>
      <c r="M9" s="35">
        <v>2029</v>
      </c>
    </row>
    <row r="10" spans="1:13" x14ac:dyDescent="0.25">
      <c r="A10" s="23">
        <v>2030</v>
      </c>
      <c r="B10" s="33">
        <f t="shared" si="1"/>
        <v>24481435.279999997</v>
      </c>
      <c r="C10" s="6">
        <f t="shared" si="3"/>
        <v>18758198.93333333</v>
      </c>
      <c r="D10" s="3">
        <f t="shared" si="6"/>
        <v>20634018.826666664</v>
      </c>
      <c r="E10" s="4">
        <f t="shared" si="2"/>
        <v>-3847416.4533333331</v>
      </c>
      <c r="F10" s="4">
        <f t="shared" si="4"/>
        <v>-8483553279.5999994</v>
      </c>
      <c r="G10" s="4">
        <f>F10/Backup!$D$22</f>
        <v>-466446750.34557319</v>
      </c>
      <c r="H10" s="4">
        <f t="shared" si="7"/>
        <v>-932893.50069114636</v>
      </c>
      <c r="K10" s="36">
        <f t="shared" si="5"/>
        <v>24481435.279999997</v>
      </c>
      <c r="L10" s="37">
        <f>Backup!E57</f>
        <v>0.9888751545117429</v>
      </c>
      <c r="M10" s="35">
        <v>2030</v>
      </c>
    </row>
    <row r="11" spans="1:13" x14ac:dyDescent="0.25">
      <c r="A11" s="23">
        <v>2031</v>
      </c>
      <c r="B11" s="33">
        <f t="shared" si="1"/>
        <v>24297824.5154</v>
      </c>
      <c r="C11" s="6">
        <f t="shared" si="3"/>
        <v>17942625.066666663</v>
      </c>
      <c r="D11" s="3">
        <f t="shared" si="6"/>
        <v>19736887.57333333</v>
      </c>
      <c r="E11" s="4">
        <f t="shared" si="2"/>
        <v>-4560936.9420666695</v>
      </c>
      <c r="F11" s="4">
        <f t="shared" si="4"/>
        <v>-10056865957.257006</v>
      </c>
      <c r="G11" s="4">
        <f>F11/Backup!$D$22</f>
        <v>-552951374.24359202</v>
      </c>
      <c r="H11" s="4">
        <f t="shared" si="7"/>
        <v>-1105902.7484871841</v>
      </c>
      <c r="K11" s="36">
        <f t="shared" si="5"/>
        <v>24297824.5154</v>
      </c>
      <c r="L11" s="37">
        <f>Backup!E58</f>
        <v>0.99250000000000005</v>
      </c>
      <c r="M11" s="35">
        <v>2031</v>
      </c>
    </row>
    <row r="12" spans="1:13" x14ac:dyDescent="0.25">
      <c r="A12" s="23">
        <v>2032</v>
      </c>
      <c r="B12" s="33">
        <f t="shared" si="1"/>
        <v>24083611.956699997</v>
      </c>
      <c r="C12" s="6">
        <f>C17</f>
        <v>17127051.199999999</v>
      </c>
      <c r="D12" s="3">
        <f t="shared" si="6"/>
        <v>18839756.32</v>
      </c>
      <c r="E12" s="4">
        <f t="shared" si="2"/>
        <v>-5243855.6366999969</v>
      </c>
      <c r="F12" s="4">
        <f t="shared" si="4"/>
        <v>-11562701678.923492</v>
      </c>
      <c r="G12" s="4">
        <f>F12/Backup!$D$22</f>
        <v>-635745948.14160991</v>
      </c>
      <c r="H12" s="4">
        <f t="shared" si="7"/>
        <v>-1271491.8962832198</v>
      </c>
      <c r="K12" s="36">
        <f t="shared" si="5"/>
        <v>24083611.956699997</v>
      </c>
      <c r="L12" s="37">
        <f>Backup!E59</f>
        <v>0.99118387909319894</v>
      </c>
      <c r="M12" s="35">
        <v>2032</v>
      </c>
    </row>
    <row r="13" spans="1:13" x14ac:dyDescent="0.25">
      <c r="K13" s="3"/>
      <c r="L13" s="7"/>
    </row>
    <row r="14" spans="1:13" x14ac:dyDescent="0.25">
      <c r="A14" s="23" t="s">
        <v>7</v>
      </c>
      <c r="B14" s="14">
        <f>B12/B3</f>
        <v>0.93690476190476191</v>
      </c>
      <c r="C14" s="12">
        <f>C12/C3</f>
        <v>0.7</v>
      </c>
      <c r="K14" s="3"/>
      <c r="L14" s="7"/>
    </row>
    <row r="15" spans="1:13" x14ac:dyDescent="0.25">
      <c r="A15" s="23" t="s">
        <v>54</v>
      </c>
      <c r="B15" s="14">
        <f>1-B14</f>
        <v>6.3095238095238093E-2</v>
      </c>
      <c r="C15" s="13"/>
      <c r="K15" s="3"/>
      <c r="L15" s="7"/>
    </row>
    <row r="16" spans="1:13" x14ac:dyDescent="0.25">
      <c r="B16" t="s">
        <v>3</v>
      </c>
      <c r="C16" s="3"/>
      <c r="K16" s="3"/>
      <c r="L16" s="7"/>
    </row>
    <row r="17" spans="1:12" x14ac:dyDescent="0.25">
      <c r="C17" s="1">
        <f>0.7*C3</f>
        <v>17127051.199999999</v>
      </c>
      <c r="D17" t="s">
        <v>8</v>
      </c>
      <c r="K17" s="3"/>
      <c r="L17" s="7"/>
    </row>
    <row r="18" spans="1:12" x14ac:dyDescent="0.25">
      <c r="C18" s="3">
        <f>(C3-C12)/9</f>
        <v>815573.8666666667</v>
      </c>
      <c r="D18" t="s">
        <v>60</v>
      </c>
      <c r="K18" s="3"/>
      <c r="L18" s="7"/>
    </row>
    <row r="19" spans="1:12" x14ac:dyDescent="0.25">
      <c r="C19" s="1"/>
      <c r="J19" s="3"/>
      <c r="K19" s="7"/>
    </row>
    <row r="20" spans="1:12" x14ac:dyDescent="0.25">
      <c r="J20" s="3"/>
      <c r="K20" s="7"/>
    </row>
    <row r="21" spans="1:12" x14ac:dyDescent="0.25">
      <c r="C21" s="20"/>
      <c r="J21" s="3"/>
      <c r="K21" s="7"/>
    </row>
    <row r="22" spans="1:12" x14ac:dyDescent="0.25">
      <c r="J22" s="3"/>
      <c r="K22" s="7"/>
    </row>
    <row r="23" spans="1:12" x14ac:dyDescent="0.25">
      <c r="A23" s="40"/>
      <c r="B23" s="41" t="s">
        <v>75</v>
      </c>
      <c r="C23" s="41" t="s">
        <v>19</v>
      </c>
      <c r="D23" s="41" t="s">
        <v>80</v>
      </c>
      <c r="E23" s="41" t="s">
        <v>104</v>
      </c>
      <c r="F23" s="43" t="s">
        <v>105</v>
      </c>
      <c r="H23" s="64" t="s">
        <v>107</v>
      </c>
      <c r="I23" s="64" t="s">
        <v>109</v>
      </c>
      <c r="J23" s="64" t="s">
        <v>111</v>
      </c>
      <c r="K23" s="9"/>
    </row>
    <row r="24" spans="1:12" x14ac:dyDescent="0.25">
      <c r="A24" s="40" t="s">
        <v>113</v>
      </c>
      <c r="B24" s="41" t="s">
        <v>74</v>
      </c>
      <c r="C24" s="41" t="s">
        <v>99</v>
      </c>
      <c r="D24" s="41" t="s">
        <v>103</v>
      </c>
      <c r="E24" s="41" t="s">
        <v>82</v>
      </c>
      <c r="F24" s="43" t="s">
        <v>114</v>
      </c>
      <c r="H24" s="64" t="s">
        <v>108</v>
      </c>
      <c r="I24" s="64" t="s">
        <v>110</v>
      </c>
      <c r="J24" s="64" t="s">
        <v>105</v>
      </c>
      <c r="K24" s="9"/>
    </row>
    <row r="25" spans="1:12" x14ac:dyDescent="0.25">
      <c r="A25" s="40">
        <v>2023</v>
      </c>
      <c r="B25" s="45">
        <f>C3</f>
        <v>24467216</v>
      </c>
      <c r="C25" s="47">
        <f>2205*B25/Backup!$D$22</f>
        <v>2966316106.3095975</v>
      </c>
      <c r="D25" s="46">
        <f>Backup!D19</f>
        <v>3116442000</v>
      </c>
      <c r="E25" s="61">
        <f t="shared" ref="E25:E34" si="8">C25-D25</f>
        <v>-150125893.69040251</v>
      </c>
      <c r="F25" s="63">
        <f>0.2654*E25</f>
        <v>-39843412.185432829</v>
      </c>
      <c r="H25" s="65">
        <f>B25*Backup!K16</f>
        <v>226321748</v>
      </c>
      <c r="I25" s="65">
        <f>0.6*H25</f>
        <v>135793048.79999998</v>
      </c>
      <c r="J25" s="65">
        <f>I25+F25</f>
        <v>95949636.614567161</v>
      </c>
      <c r="K25" s="7"/>
    </row>
    <row r="26" spans="1:12" x14ac:dyDescent="0.25">
      <c r="A26" s="40">
        <v>2024</v>
      </c>
      <c r="B26" s="45">
        <f t="shared" ref="B26:B34" si="9">C4</f>
        <v>23651642.133333333</v>
      </c>
      <c r="C26" s="47">
        <f>2205*B26/Backup!$D$22</f>
        <v>2867438902.765944</v>
      </c>
      <c r="D26" s="47">
        <f>D25*Backup!E51</f>
        <v>3112731950</v>
      </c>
      <c r="E26" s="61">
        <f t="shared" si="8"/>
        <v>-245293047.234056</v>
      </c>
      <c r="F26" s="63">
        <f t="shared" ref="F26:F34" si="10">0.2654*E26</f>
        <v>-65100774.73591847</v>
      </c>
      <c r="H26" s="65">
        <f>B26*Backup!K17</f>
        <v>241365007.97066668</v>
      </c>
      <c r="I26" s="65">
        <f t="shared" ref="I26:I34" si="11">0.6*H26</f>
        <v>144819004.78240001</v>
      </c>
      <c r="J26" s="65">
        <f t="shared" ref="J26:J34" si="12">I26+F26</f>
        <v>79718230.04648155</v>
      </c>
      <c r="K26" s="7"/>
    </row>
    <row r="27" spans="1:12" x14ac:dyDescent="0.25">
      <c r="A27" s="40">
        <v>2025</v>
      </c>
      <c r="B27" s="45">
        <f t="shared" si="9"/>
        <v>22836068.266666666</v>
      </c>
      <c r="C27" s="47">
        <f>2205*B27/Backup!$D$22</f>
        <v>2768561699.222291</v>
      </c>
      <c r="D27" s="47">
        <f>D26*Backup!E52</f>
        <v>3097891750</v>
      </c>
      <c r="E27" s="61">
        <f t="shared" si="8"/>
        <v>-329330050.77770901</v>
      </c>
      <c r="F27" s="63">
        <f t="shared" si="10"/>
        <v>-87404195.476403981</v>
      </c>
      <c r="H27" s="65">
        <f>B27*Backup!K18</f>
        <v>257248309.02399999</v>
      </c>
      <c r="I27" s="65">
        <f t="shared" si="11"/>
        <v>154348985.41439998</v>
      </c>
      <c r="J27" s="65">
        <f t="shared" si="12"/>
        <v>66944789.937996</v>
      </c>
      <c r="K27" s="7"/>
    </row>
    <row r="28" spans="1:12" x14ac:dyDescent="0.25">
      <c r="A28" s="40">
        <v>2026</v>
      </c>
      <c r="B28" s="45">
        <f t="shared" si="9"/>
        <v>22020494.399999999</v>
      </c>
      <c r="C28" s="47">
        <f>2205*B28/Backup!$D$22</f>
        <v>2669684495.6786375</v>
      </c>
      <c r="D28" s="47">
        <f>D27*Backup!E53</f>
        <v>3079341500</v>
      </c>
      <c r="E28" s="61">
        <f t="shared" si="8"/>
        <v>-409657004.3213625</v>
      </c>
      <c r="F28" s="63">
        <f t="shared" si="10"/>
        <v>-108722968.94688961</v>
      </c>
      <c r="H28" s="65">
        <f>B28*Backup!K19</f>
        <v>273934950.33599997</v>
      </c>
      <c r="I28" s="65">
        <f t="shared" si="11"/>
        <v>164360970.20159999</v>
      </c>
      <c r="J28" s="65">
        <f t="shared" si="12"/>
        <v>55638001.254710376</v>
      </c>
      <c r="K28" s="7"/>
    </row>
    <row r="29" spans="1:12" x14ac:dyDescent="0.25">
      <c r="A29" s="40">
        <v>2027</v>
      </c>
      <c r="B29" s="45">
        <f t="shared" si="9"/>
        <v>21204920.533333331</v>
      </c>
      <c r="C29" s="47">
        <f>2205*B29/Backup!$D$22</f>
        <v>2570807292.134984</v>
      </c>
      <c r="D29" s="47">
        <f>D28*Backup!E54</f>
        <v>3053371150</v>
      </c>
      <c r="E29" s="61">
        <f t="shared" si="8"/>
        <v>-482563857.86501598</v>
      </c>
      <c r="F29" s="63">
        <f t="shared" si="10"/>
        <v>-128072447.87737526</v>
      </c>
      <c r="H29" s="65">
        <f>B29*Backup!K20</f>
        <v>291143558.92266667</v>
      </c>
      <c r="I29" s="65">
        <f t="shared" si="11"/>
        <v>174686135.3536</v>
      </c>
      <c r="J29" s="65">
        <f t="shared" si="12"/>
        <v>46613687.476224735</v>
      </c>
      <c r="K29" s="7"/>
    </row>
    <row r="30" spans="1:12" x14ac:dyDescent="0.25">
      <c r="A30" s="40">
        <v>2028</v>
      </c>
      <c r="B30" s="45">
        <f t="shared" si="9"/>
        <v>20389346.666666664</v>
      </c>
      <c r="C30" s="47">
        <f>2205*B30/Backup!$D$22</f>
        <v>2471930088.5913305</v>
      </c>
      <c r="D30" s="47">
        <f>D29*Backup!E55</f>
        <v>3027400800</v>
      </c>
      <c r="E30" s="61">
        <f t="shared" si="8"/>
        <v>-555470711.40866947</v>
      </c>
      <c r="F30" s="63">
        <f t="shared" si="10"/>
        <v>-147421926.80786088</v>
      </c>
      <c r="H30" s="65">
        <f>B30*Backup!K21</f>
        <v>309204442.19999993</v>
      </c>
      <c r="I30" s="65">
        <f t="shared" si="11"/>
        <v>185522665.31999996</v>
      </c>
      <c r="J30" s="65">
        <f t="shared" si="12"/>
        <v>38100738.512139082</v>
      </c>
      <c r="K30" s="7"/>
    </row>
    <row r="31" spans="1:12" x14ac:dyDescent="0.25">
      <c r="A31" s="40">
        <v>2029</v>
      </c>
      <c r="B31" s="45">
        <f t="shared" si="9"/>
        <v>19573772.799999997</v>
      </c>
      <c r="C31" s="47">
        <f>2205*B31/Backup!$D$22</f>
        <v>2373052885.0476775</v>
      </c>
      <c r="D31" s="47">
        <f>D30*Backup!E56</f>
        <v>3001430450</v>
      </c>
      <c r="E31" s="61">
        <f t="shared" si="8"/>
        <v>-628377564.95232248</v>
      </c>
      <c r="F31" s="63">
        <f t="shared" si="10"/>
        <v>-166771405.7383464</v>
      </c>
      <c r="H31" s="65">
        <f>B31*Backup!K22</f>
        <v>327958563.26399994</v>
      </c>
      <c r="I31" s="65">
        <f t="shared" si="11"/>
        <v>196775137.95839995</v>
      </c>
      <c r="J31" s="65">
        <f t="shared" si="12"/>
        <v>30003732.220053554</v>
      </c>
      <c r="K31" s="7"/>
    </row>
    <row r="32" spans="1:12" x14ac:dyDescent="0.25">
      <c r="A32" s="40">
        <v>2030</v>
      </c>
      <c r="B32" s="45">
        <f t="shared" si="9"/>
        <v>18758198.93333333</v>
      </c>
      <c r="C32" s="47">
        <f>2205*B32/Backup!$D$22</f>
        <v>2274175681.504024</v>
      </c>
      <c r="D32" s="47">
        <f>D31*Backup!E57</f>
        <v>2968040000</v>
      </c>
      <c r="E32" s="61">
        <f t="shared" si="8"/>
        <v>-693864318.49597597</v>
      </c>
      <c r="F32" s="63">
        <f t="shared" si="10"/>
        <v>-184151590.12883204</v>
      </c>
      <c r="H32" s="65">
        <f>B32*Backup!K23</f>
        <v>347214262.25599992</v>
      </c>
      <c r="I32" s="65">
        <f t="shared" si="11"/>
        <v>208328557.35359994</v>
      </c>
      <c r="J32" s="65">
        <f t="shared" si="12"/>
        <v>24176967.224767894</v>
      </c>
      <c r="K32" s="7"/>
    </row>
    <row r="33" spans="1:11" x14ac:dyDescent="0.25">
      <c r="A33" s="40">
        <v>2031</v>
      </c>
      <c r="B33" s="45">
        <f t="shared" si="9"/>
        <v>17942625.066666663</v>
      </c>
      <c r="C33" s="47">
        <f>2205*B33/Backup!$D$22</f>
        <v>2175298477.960371</v>
      </c>
      <c r="D33" s="47">
        <f>D32*Backup!E58</f>
        <v>2945779700</v>
      </c>
      <c r="E33" s="61">
        <f t="shared" si="8"/>
        <v>-770481222.03962898</v>
      </c>
      <c r="F33" s="63">
        <f t="shared" si="10"/>
        <v>-204485716.32931754</v>
      </c>
      <c r="H33" s="65">
        <f>B33*Backup!K24</f>
        <v>355802255.07199997</v>
      </c>
      <c r="I33" s="65">
        <f t="shared" si="11"/>
        <v>213481353.04319999</v>
      </c>
      <c r="J33" s="65">
        <f t="shared" si="12"/>
        <v>8995636.7138824463</v>
      </c>
      <c r="K33" s="7"/>
    </row>
    <row r="34" spans="1:11" x14ac:dyDescent="0.25">
      <c r="A34" s="40">
        <v>2032</v>
      </c>
      <c r="B34" s="45">
        <f t="shared" si="9"/>
        <v>17127051.199999999</v>
      </c>
      <c r="C34" s="47">
        <f>2205*B34/Backup!$D$22</f>
        <v>2076421274.4167182</v>
      </c>
      <c r="D34" s="47">
        <f>D33*Backup!E59</f>
        <v>2919809350</v>
      </c>
      <c r="E34" s="61">
        <f t="shared" si="8"/>
        <v>-843388075.58328176</v>
      </c>
      <c r="F34" s="63">
        <f t="shared" si="10"/>
        <v>-223835195.259803</v>
      </c>
      <c r="H34" s="65">
        <f>B34*Backup!K25</f>
        <v>363607296.97600001</v>
      </c>
      <c r="I34" s="65">
        <f t="shared" si="11"/>
        <v>218164378.18560001</v>
      </c>
      <c r="J34" s="65">
        <f t="shared" si="12"/>
        <v>-5670817.0742029846</v>
      </c>
      <c r="K34" s="7"/>
    </row>
    <row r="35" spans="1:11" x14ac:dyDescent="0.25">
      <c r="A35" s="40"/>
      <c r="B35" s="44"/>
      <c r="C35" s="62">
        <f>C34/C25</f>
        <v>0.7</v>
      </c>
      <c r="D35" s="53">
        <f>D34/D25</f>
        <v>0.93690476190476191</v>
      </c>
      <c r="E35" s="44"/>
      <c r="F35" s="51">
        <f>SUM(F25:F34)</f>
        <v>-1355809633.4861801</v>
      </c>
      <c r="H35" s="67">
        <f>SUM(H25:H34)</f>
        <v>2993800394.0213327</v>
      </c>
      <c r="I35" s="67">
        <f>SUM(I25:I34)</f>
        <v>1796280236.4127998</v>
      </c>
      <c r="J35" s="67">
        <f>SUM(J25:J34)</f>
        <v>440470602.92661977</v>
      </c>
      <c r="K35" s="11"/>
    </row>
    <row r="36" spans="1:11" x14ac:dyDescent="0.25">
      <c r="J36" s="10"/>
      <c r="K36" s="11"/>
    </row>
    <row r="37" spans="1:11" x14ac:dyDescent="0.25">
      <c r="J37" s="3"/>
      <c r="K37" s="7"/>
    </row>
    <row r="38" spans="1:11" x14ac:dyDescent="0.25">
      <c r="J38" s="3"/>
      <c r="K38" s="7"/>
    </row>
    <row r="39" spans="1:11" x14ac:dyDescent="0.25">
      <c r="J39" s="3"/>
      <c r="K39" s="7"/>
    </row>
    <row r="40" spans="1:11" x14ac:dyDescent="0.25">
      <c r="J40" s="3"/>
      <c r="K40" s="7"/>
    </row>
    <row r="41" spans="1:11" x14ac:dyDescent="0.25">
      <c r="J41" s="3"/>
      <c r="K41" s="7"/>
    </row>
    <row r="42" spans="1:11" x14ac:dyDescent="0.25">
      <c r="J42" s="3"/>
      <c r="K42" s="7"/>
    </row>
    <row r="43" spans="1:11" x14ac:dyDescent="0.25">
      <c r="J43" s="3"/>
      <c r="K43" s="7"/>
    </row>
    <row r="44" spans="1:11" x14ac:dyDescent="0.25">
      <c r="J44" s="3"/>
      <c r="K44" s="7"/>
    </row>
    <row r="45" spans="1:11" x14ac:dyDescent="0.25">
      <c r="J45" s="3"/>
      <c r="K45" s="7"/>
    </row>
    <row r="46" spans="1:11" x14ac:dyDescent="0.25">
      <c r="J46" s="3"/>
      <c r="K46" s="7"/>
    </row>
    <row r="47" spans="1:11" x14ac:dyDescent="0.25">
      <c r="J47" s="3"/>
      <c r="K47" s="7"/>
    </row>
    <row r="48" spans="1:11" x14ac:dyDescent="0.25">
      <c r="J48" s="3"/>
      <c r="K48" s="7"/>
    </row>
    <row r="49" spans="10:11" x14ac:dyDescent="0.25">
      <c r="J49" s="3"/>
      <c r="K49" s="7"/>
    </row>
    <row r="50" spans="10:11" x14ac:dyDescent="0.25">
      <c r="J50" s="3"/>
      <c r="K50" s="7"/>
    </row>
    <row r="51" spans="10:11" x14ac:dyDescent="0.25">
      <c r="J51" s="3"/>
      <c r="K51" s="7"/>
    </row>
    <row r="52" spans="10:11" x14ac:dyDescent="0.25">
      <c r="J52" s="3"/>
      <c r="K52" s="7"/>
    </row>
    <row r="53" spans="10:11" x14ac:dyDescent="0.25">
      <c r="J53" s="3"/>
      <c r="K53" s="7"/>
    </row>
    <row r="54" spans="10:11" x14ac:dyDescent="0.25">
      <c r="J54" s="3"/>
      <c r="K54" s="7"/>
    </row>
    <row r="55" spans="10:11" x14ac:dyDescent="0.25">
      <c r="J55" s="3"/>
      <c r="K55" s="7"/>
    </row>
    <row r="56" spans="10:11" x14ac:dyDescent="0.25">
      <c r="J56" s="3"/>
      <c r="K56" s="7"/>
    </row>
    <row r="57" spans="10:11" x14ac:dyDescent="0.25">
      <c r="J57" s="3"/>
      <c r="K57" s="7"/>
    </row>
    <row r="58" spans="10:11" x14ac:dyDescent="0.25">
      <c r="J58" s="3"/>
      <c r="K58" s="7"/>
    </row>
    <row r="59" spans="10:11" x14ac:dyDescent="0.25">
      <c r="J59" s="3"/>
      <c r="K59" s="7"/>
    </row>
    <row r="60" spans="10:11" x14ac:dyDescent="0.25">
      <c r="J60" s="3"/>
      <c r="K60" s="7"/>
    </row>
    <row r="61" spans="10:11" x14ac:dyDescent="0.25">
      <c r="J61" s="3"/>
      <c r="K61" s="7"/>
    </row>
    <row r="62" spans="10:11" x14ac:dyDescent="0.25">
      <c r="J62" s="3"/>
      <c r="K62" s="7"/>
    </row>
    <row r="63" spans="10:11" x14ac:dyDescent="0.25">
      <c r="J63" s="3"/>
      <c r="K63" s="7"/>
    </row>
    <row r="64" spans="10:11" x14ac:dyDescent="0.25">
      <c r="J64" s="3"/>
      <c r="K64" s="7"/>
    </row>
    <row r="65" spans="10:11" x14ac:dyDescent="0.25">
      <c r="J65" s="3"/>
      <c r="K65" s="7"/>
    </row>
    <row r="66" spans="10:11" x14ac:dyDescent="0.25">
      <c r="J66" s="3"/>
      <c r="K66" s="7"/>
    </row>
    <row r="67" spans="10:11" x14ac:dyDescent="0.25">
      <c r="J67" s="3"/>
      <c r="K67" s="7"/>
    </row>
    <row r="68" spans="10:11" x14ac:dyDescent="0.25">
      <c r="J68" s="3"/>
      <c r="K68" s="7"/>
    </row>
    <row r="69" spans="10:11" x14ac:dyDescent="0.25">
      <c r="J69" s="3"/>
      <c r="K69" s="7"/>
    </row>
    <row r="70" spans="10:11" x14ac:dyDescent="0.25">
      <c r="J70" s="3"/>
      <c r="K70" s="7"/>
    </row>
    <row r="71" spans="10:11" x14ac:dyDescent="0.25">
      <c r="J71" s="3"/>
      <c r="K71" s="7"/>
    </row>
    <row r="72" spans="10:11" x14ac:dyDescent="0.25">
      <c r="J72" s="3"/>
      <c r="K72" s="7"/>
    </row>
    <row r="73" spans="10:11" x14ac:dyDescent="0.25">
      <c r="J73" s="3"/>
      <c r="K73" s="7"/>
    </row>
    <row r="74" spans="10:11" x14ac:dyDescent="0.25">
      <c r="J74" s="3"/>
      <c r="K74" s="7"/>
    </row>
    <row r="75" spans="10:11" x14ac:dyDescent="0.25">
      <c r="J75" s="3"/>
      <c r="K75" s="7"/>
    </row>
    <row r="76" spans="10:11" x14ac:dyDescent="0.25">
      <c r="J76" s="3"/>
      <c r="K76" s="7"/>
    </row>
    <row r="77" spans="10:11" x14ac:dyDescent="0.25">
      <c r="J77" s="3"/>
      <c r="K77" s="7"/>
    </row>
    <row r="78" spans="10:11" x14ac:dyDescent="0.25">
      <c r="J78" s="3"/>
      <c r="K78" s="7"/>
    </row>
    <row r="79" spans="10:11" x14ac:dyDescent="0.25">
      <c r="J79" s="3"/>
      <c r="K79" s="7"/>
    </row>
    <row r="80" spans="10:11" x14ac:dyDescent="0.25">
      <c r="J80" s="3"/>
      <c r="K80" s="7"/>
    </row>
    <row r="81" spans="10:11" x14ac:dyDescent="0.25">
      <c r="J81" s="3"/>
      <c r="K81" s="7"/>
    </row>
    <row r="82" spans="10:11" x14ac:dyDescent="0.25">
      <c r="J82" s="3"/>
      <c r="K82" s="7"/>
    </row>
    <row r="83" spans="10:11" x14ac:dyDescent="0.25">
      <c r="J83" s="3"/>
      <c r="K83" s="7"/>
    </row>
    <row r="84" spans="10:11" x14ac:dyDescent="0.25">
      <c r="J84" s="3"/>
      <c r="K84" s="7"/>
    </row>
    <row r="85" spans="10:11" x14ac:dyDescent="0.25">
      <c r="J85" s="3"/>
      <c r="K85" s="7"/>
    </row>
    <row r="86" spans="10:11" x14ac:dyDescent="0.25">
      <c r="J86" s="3"/>
      <c r="K86" s="7"/>
    </row>
    <row r="87" spans="10:11" x14ac:dyDescent="0.25">
      <c r="J87" s="3"/>
      <c r="K87" s="7"/>
    </row>
    <row r="88" spans="10:11" x14ac:dyDescent="0.25">
      <c r="K88" s="7"/>
    </row>
    <row r="89" spans="10:11" x14ac:dyDescent="0.25">
      <c r="K89" s="7"/>
    </row>
    <row r="90" spans="10:11" x14ac:dyDescent="0.25">
      <c r="K90" s="7"/>
    </row>
    <row r="91" spans="10:11" x14ac:dyDescent="0.25">
      <c r="K91" s="7"/>
    </row>
    <row r="92" spans="10:11" x14ac:dyDescent="0.25">
      <c r="K92" s="7"/>
    </row>
    <row r="93" spans="10:11" x14ac:dyDescent="0.25">
      <c r="K93" s="7"/>
    </row>
    <row r="94" spans="10:11" x14ac:dyDescent="0.25">
      <c r="K94" s="7"/>
    </row>
    <row r="95" spans="10:11" x14ac:dyDescent="0.25">
      <c r="K95" s="7"/>
    </row>
    <row r="96" spans="10:11" x14ac:dyDescent="0.25">
      <c r="K96" s="7"/>
    </row>
    <row r="97" spans="11:11" x14ac:dyDescent="0.25">
      <c r="K97" s="7"/>
    </row>
    <row r="98" spans="11:11" x14ac:dyDescent="0.25">
      <c r="K98" s="7"/>
    </row>
    <row r="99" spans="11:11" x14ac:dyDescent="0.25">
      <c r="K99" s="7"/>
    </row>
  </sheetData>
  <dataValidations count="1">
    <dataValidation type="list" allowBlank="1" showInputMessage="1" showErrorMessage="1" sqref="B2" xr:uid="{D48533D5-4FF6-4B4D-8193-AAFF3EA7D0B2}">
      <formula1>$K$2:$K$99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9"/>
  <sheetViews>
    <sheetView zoomScale="80" zoomScaleNormal="80" workbookViewId="0">
      <selection activeCell="A3" sqref="A3:XFD5"/>
    </sheetView>
  </sheetViews>
  <sheetFormatPr defaultColWidth="11" defaultRowHeight="15.75" x14ac:dyDescent="0.25"/>
  <cols>
    <col min="2" max="2" width="21.625" customWidth="1"/>
    <col min="3" max="3" width="18.625" customWidth="1"/>
    <col min="4" max="4" width="15.25" customWidth="1"/>
    <col min="5" max="5" width="15.125" customWidth="1"/>
    <col min="6" max="6" width="18.625" customWidth="1"/>
    <col min="7" max="7" width="16.25" customWidth="1"/>
    <col min="8" max="8" width="13" customWidth="1"/>
    <col min="9" max="9" width="17.25" customWidth="1"/>
    <col min="10" max="10" width="14" bestFit="1" customWidth="1"/>
    <col min="11" max="11" width="17.375" customWidth="1"/>
  </cols>
  <sheetData>
    <row r="1" spans="1:13" ht="78.75" x14ac:dyDescent="0.25">
      <c r="A1" s="23" t="s">
        <v>59</v>
      </c>
      <c r="B1" s="2" t="s">
        <v>0</v>
      </c>
      <c r="C1" s="2" t="s">
        <v>1</v>
      </c>
      <c r="D1" s="5" t="s">
        <v>2</v>
      </c>
      <c r="E1" s="2" t="s">
        <v>4</v>
      </c>
      <c r="F1" s="2" t="s">
        <v>55</v>
      </c>
      <c r="G1" s="2" t="s">
        <v>61</v>
      </c>
      <c r="H1" s="2" t="s">
        <v>6</v>
      </c>
      <c r="L1" t="s">
        <v>56</v>
      </c>
    </row>
    <row r="2" spans="1:13" x14ac:dyDescent="0.25">
      <c r="A2" s="23">
        <v>2019</v>
      </c>
      <c r="B2" s="1">
        <f>K2</f>
        <v>3619089.18</v>
      </c>
      <c r="C2" s="2"/>
      <c r="D2" s="5"/>
      <c r="E2" s="2"/>
      <c r="F2" s="2"/>
      <c r="G2" s="2"/>
      <c r="H2" s="2"/>
      <c r="K2" s="33">
        <f>Backup!D34</f>
        <v>3619089.18</v>
      </c>
      <c r="L2" s="34"/>
      <c r="M2" s="35"/>
    </row>
    <row r="3" spans="1:13" x14ac:dyDescent="0.25">
      <c r="A3" s="23">
        <v>2023</v>
      </c>
      <c r="B3" s="33">
        <f>K3</f>
        <v>3619089.18</v>
      </c>
      <c r="C3" s="1">
        <v>3291658</v>
      </c>
      <c r="D3" s="3">
        <f>C3*1.1</f>
        <v>3620823.8000000003</v>
      </c>
      <c r="E3" s="4">
        <f t="shared" ref="E3:E12" si="0">D3-B3</f>
        <v>1734.6200000001118</v>
      </c>
      <c r="F3" s="4"/>
      <c r="G3" s="4">
        <f>F3/Backup!$D$22</f>
        <v>0</v>
      </c>
      <c r="H3" s="4">
        <f t="shared" ref="H3:H4" si="1">G3/500</f>
        <v>0</v>
      </c>
      <c r="K3" s="36">
        <f>K2</f>
        <v>3619089.18</v>
      </c>
      <c r="L3" s="34"/>
      <c r="M3" s="35">
        <v>2023</v>
      </c>
    </row>
    <row r="4" spans="1:13" x14ac:dyDescent="0.25">
      <c r="A4" s="23">
        <v>2024</v>
      </c>
      <c r="B4" s="33">
        <f t="shared" ref="B4:B12" si="2">K4</f>
        <v>3614780.7405000003</v>
      </c>
      <c r="C4" s="6">
        <f>C3-$C$18</f>
        <v>3181936.0666666664</v>
      </c>
      <c r="D4" s="3">
        <f>C4*1.1</f>
        <v>3500129.6733333333</v>
      </c>
      <c r="E4" s="4">
        <f t="shared" si="0"/>
        <v>-114651.06716666697</v>
      </c>
      <c r="F4" s="4">
        <f t="shared" ref="F4:F12" si="3">2205*E4</f>
        <v>-252805603.10250065</v>
      </c>
      <c r="G4" s="4">
        <f>F4/Backup!$D$32</f>
        <v>-13865562.820875593</v>
      </c>
      <c r="H4" s="4">
        <f t="shared" si="1"/>
        <v>-27731.125641751187</v>
      </c>
      <c r="K4" s="36">
        <f>K3*L4</f>
        <v>3614780.7405000003</v>
      </c>
      <c r="L4" s="37">
        <f>Backup!E51</f>
        <v>0.99880952380952381</v>
      </c>
      <c r="M4" s="35">
        <v>2024</v>
      </c>
    </row>
    <row r="5" spans="1:13" x14ac:dyDescent="0.25">
      <c r="A5" s="23">
        <v>2025</v>
      </c>
      <c r="B5" s="33">
        <f t="shared" si="2"/>
        <v>3597546.9825000004</v>
      </c>
      <c r="C5" s="6">
        <f t="shared" ref="C5:C11" si="4">C4-$C$18</f>
        <v>3072214.1333333328</v>
      </c>
      <c r="D5" s="3">
        <f>C5*1.1</f>
        <v>3379435.5466666664</v>
      </c>
      <c r="E5" s="4">
        <f t="shared" si="0"/>
        <v>-218111.43583333399</v>
      </c>
      <c r="F5" s="4">
        <f t="shared" si="3"/>
        <v>-480935716.01250148</v>
      </c>
      <c r="G5" s="4">
        <f>F5/Backup!$D$32</f>
        <v>-26377755.482224759</v>
      </c>
      <c r="H5" s="4">
        <f>G5/500</f>
        <v>-52755.510964449517</v>
      </c>
      <c r="K5" s="36">
        <f t="shared" ref="K5:K12" si="5">K4*L5</f>
        <v>3597546.9825000004</v>
      </c>
      <c r="L5" s="37">
        <f>Backup!E52</f>
        <v>0.99523241954707986</v>
      </c>
      <c r="M5" s="35">
        <v>2025</v>
      </c>
    </row>
    <row r="6" spans="1:13" x14ac:dyDescent="0.25">
      <c r="A6" s="23">
        <v>2026</v>
      </c>
      <c r="B6" s="33">
        <f t="shared" si="2"/>
        <v>3576004.7850000001</v>
      </c>
      <c r="C6" s="6">
        <f t="shared" si="4"/>
        <v>2962492.1999999993</v>
      </c>
      <c r="D6" s="3">
        <f t="shared" ref="D6:D12" si="6">C6*1.1</f>
        <v>3258741.4199999995</v>
      </c>
      <c r="E6" s="4">
        <f t="shared" si="0"/>
        <v>-317263.36500000069</v>
      </c>
      <c r="F6" s="4">
        <f t="shared" si="3"/>
        <v>-699565719.82500148</v>
      </c>
      <c r="G6" s="4">
        <f>F6/Backup!$D$32</f>
        <v>-38368898.14357388</v>
      </c>
      <c r="H6" s="4">
        <f t="shared" ref="H6:H12" si="7">G6/500</f>
        <v>-76737.796287147765</v>
      </c>
      <c r="K6" s="36">
        <f t="shared" si="5"/>
        <v>3576004.7850000001</v>
      </c>
      <c r="L6" s="37">
        <f>Backup!E53</f>
        <v>0.99401197604790414</v>
      </c>
      <c r="M6" s="35">
        <v>2026</v>
      </c>
    </row>
    <row r="7" spans="1:13" x14ac:dyDescent="0.25">
      <c r="A7" s="23">
        <v>2027</v>
      </c>
      <c r="B7" s="33">
        <f t="shared" si="2"/>
        <v>3545845.7085000002</v>
      </c>
      <c r="C7" s="6">
        <f t="shared" si="4"/>
        <v>2852770.2666666657</v>
      </c>
      <c r="D7" s="3">
        <f t="shared" si="6"/>
        <v>3138047.2933333325</v>
      </c>
      <c r="E7" s="4">
        <f t="shared" si="0"/>
        <v>-407798.41516666766</v>
      </c>
      <c r="F7" s="4">
        <f t="shared" si="3"/>
        <v>-899195505.44250214</v>
      </c>
      <c r="G7" s="4">
        <f>F7/Backup!$D$32</f>
        <v>-49317940.804923035</v>
      </c>
      <c r="H7" s="4">
        <f t="shared" si="7"/>
        <v>-98635.881609846067</v>
      </c>
      <c r="K7" s="36">
        <f t="shared" si="5"/>
        <v>3545845.7085000002</v>
      </c>
      <c r="L7" s="37">
        <f>Backup!E54</f>
        <v>0.99156626506024093</v>
      </c>
      <c r="M7" s="35">
        <v>2027</v>
      </c>
    </row>
    <row r="8" spans="1:13" x14ac:dyDescent="0.25">
      <c r="A8" s="23">
        <v>2028</v>
      </c>
      <c r="B8" s="33">
        <f t="shared" si="2"/>
        <v>3515686.6320000002</v>
      </c>
      <c r="C8" s="6">
        <f t="shared" si="4"/>
        <v>2743048.3333333321</v>
      </c>
      <c r="D8" s="3">
        <f t="shared" si="6"/>
        <v>3017353.1666666656</v>
      </c>
      <c r="E8" s="4">
        <f t="shared" si="0"/>
        <v>-498333.46533333464</v>
      </c>
      <c r="F8" s="4">
        <f t="shared" si="3"/>
        <v>-1098825291.0600028</v>
      </c>
      <c r="G8" s="4">
        <f>F8/Backup!$D$32</f>
        <v>-60266983.46627219</v>
      </c>
      <c r="H8" s="4">
        <f t="shared" si="7"/>
        <v>-120533.96693254438</v>
      </c>
      <c r="K8" s="36">
        <f t="shared" si="5"/>
        <v>3515686.6320000002</v>
      </c>
      <c r="L8" s="37">
        <f>Backup!E55</f>
        <v>0.99149453219927097</v>
      </c>
      <c r="M8" s="35">
        <v>2028</v>
      </c>
    </row>
    <row r="9" spans="1:13" x14ac:dyDescent="0.25">
      <c r="A9" s="23">
        <v>2029</v>
      </c>
      <c r="B9" s="33">
        <f t="shared" si="2"/>
        <v>3485527.5555000002</v>
      </c>
      <c r="C9" s="6">
        <f t="shared" si="4"/>
        <v>2633326.3999999985</v>
      </c>
      <c r="D9" s="3">
        <f t="shared" si="6"/>
        <v>2896659.0399999986</v>
      </c>
      <c r="E9" s="4">
        <f t="shared" si="0"/>
        <v>-588868.51550000161</v>
      </c>
      <c r="F9" s="4">
        <f t="shared" si="3"/>
        <v>-1298455076.6775036</v>
      </c>
      <c r="G9" s="4">
        <f>F9/Backup!$D$32</f>
        <v>-71216026.127621353</v>
      </c>
      <c r="H9" s="4">
        <f t="shared" si="7"/>
        <v>-142432.05225524271</v>
      </c>
      <c r="K9" s="36">
        <f t="shared" si="5"/>
        <v>3485527.5555000002</v>
      </c>
      <c r="L9" s="37">
        <f>Backup!E56</f>
        <v>0.99142156862745101</v>
      </c>
      <c r="M9" s="35">
        <v>2029</v>
      </c>
    </row>
    <row r="10" spans="1:13" x14ac:dyDescent="0.25">
      <c r="A10" s="23">
        <v>2030</v>
      </c>
      <c r="B10" s="33">
        <f t="shared" si="2"/>
        <v>3446751.6</v>
      </c>
      <c r="C10" s="6">
        <f t="shared" si="4"/>
        <v>2523604.4666666649</v>
      </c>
      <c r="D10" s="3">
        <f t="shared" si="6"/>
        <v>2775964.9133333317</v>
      </c>
      <c r="E10" s="4">
        <f t="shared" si="0"/>
        <v>-670786.68666666839</v>
      </c>
      <c r="F10" s="4">
        <f t="shared" si="3"/>
        <v>-1479084644.1000037</v>
      </c>
      <c r="G10" s="4">
        <f>F10/Backup!$D$32</f>
        <v>-81122968.788970485</v>
      </c>
      <c r="H10" s="4">
        <f t="shared" si="7"/>
        <v>-162245.93757794096</v>
      </c>
      <c r="K10" s="36">
        <f t="shared" si="5"/>
        <v>3446751.6</v>
      </c>
      <c r="L10" s="37">
        <f>Backup!E57</f>
        <v>0.9888751545117429</v>
      </c>
      <c r="M10" s="35">
        <v>2030</v>
      </c>
    </row>
    <row r="11" spans="1:13" x14ac:dyDescent="0.25">
      <c r="A11" s="23">
        <v>2031</v>
      </c>
      <c r="B11" s="33">
        <f t="shared" si="2"/>
        <v>3420900.9630000005</v>
      </c>
      <c r="C11" s="6">
        <f t="shared" si="4"/>
        <v>2413882.5333333313</v>
      </c>
      <c r="D11" s="3">
        <f t="shared" si="6"/>
        <v>2655270.7866666648</v>
      </c>
      <c r="E11" s="4">
        <f t="shared" si="0"/>
        <v>-765630.17633333569</v>
      </c>
      <c r="F11" s="4">
        <f t="shared" si="3"/>
        <v>-1688214538.8150053</v>
      </c>
      <c r="G11" s="4">
        <f>F11/Backup!$D$32</f>
        <v>-92593061.450319692</v>
      </c>
      <c r="H11" s="4">
        <f t="shared" si="7"/>
        <v>-185186.1229006394</v>
      </c>
      <c r="K11" s="36">
        <f t="shared" si="5"/>
        <v>3420900.9630000005</v>
      </c>
      <c r="L11" s="37">
        <f>Backup!E58</f>
        <v>0.99250000000000005</v>
      </c>
      <c r="M11" s="35">
        <v>2031</v>
      </c>
    </row>
    <row r="12" spans="1:13" x14ac:dyDescent="0.25">
      <c r="A12" s="23">
        <v>2032</v>
      </c>
      <c r="B12" s="33">
        <f t="shared" si="2"/>
        <v>3390741.8865000005</v>
      </c>
      <c r="C12" s="6">
        <f>C17</f>
        <v>2304160.5999999996</v>
      </c>
      <c r="D12" s="3">
        <f t="shared" si="6"/>
        <v>2534576.6599999997</v>
      </c>
      <c r="E12" s="4">
        <f t="shared" si="0"/>
        <v>-856165.2265000008</v>
      </c>
      <c r="F12" s="4">
        <f t="shared" si="3"/>
        <v>-1887844324.4325018</v>
      </c>
      <c r="G12" s="4">
        <f>F12/Backup!$D$32</f>
        <v>-103542104.11166862</v>
      </c>
      <c r="H12" s="4">
        <f t="shared" si="7"/>
        <v>-207084.20822333722</v>
      </c>
      <c r="K12" s="36">
        <f t="shared" si="5"/>
        <v>3390741.8865000005</v>
      </c>
      <c r="L12" s="37">
        <f>Backup!E59</f>
        <v>0.99118387909319894</v>
      </c>
      <c r="M12" s="35">
        <v>2032</v>
      </c>
    </row>
    <row r="13" spans="1:13" x14ac:dyDescent="0.25">
      <c r="A13" s="23"/>
      <c r="K13" s="3"/>
      <c r="L13" s="7"/>
    </row>
    <row r="14" spans="1:13" x14ac:dyDescent="0.25">
      <c r="A14" s="23" t="s">
        <v>7</v>
      </c>
      <c r="B14" s="14">
        <f>B12/B3</f>
        <v>0.93690476190476202</v>
      </c>
      <c r="C14" s="12">
        <f>C12/C3</f>
        <v>0.69999999999999984</v>
      </c>
      <c r="K14" s="3"/>
      <c r="L14" s="7"/>
    </row>
    <row r="15" spans="1:13" x14ac:dyDescent="0.25">
      <c r="A15" s="23" t="s">
        <v>54</v>
      </c>
      <c r="B15" s="14">
        <f>1-B14</f>
        <v>6.3095238095237982E-2</v>
      </c>
      <c r="C15" s="13"/>
      <c r="K15" s="3"/>
      <c r="L15" s="7"/>
    </row>
    <row r="16" spans="1:13" x14ac:dyDescent="0.25">
      <c r="A16" s="23"/>
      <c r="B16" t="s">
        <v>3</v>
      </c>
      <c r="C16" s="3"/>
      <c r="K16" s="3"/>
      <c r="L16" s="7"/>
    </row>
    <row r="17" spans="1:12" x14ac:dyDescent="0.25">
      <c r="A17" s="23"/>
      <c r="C17" s="1">
        <f>0.7*C3</f>
        <v>2304160.5999999996</v>
      </c>
      <c r="D17" t="s">
        <v>8</v>
      </c>
      <c r="K17" s="3"/>
      <c r="L17" s="7"/>
    </row>
    <row r="18" spans="1:12" x14ac:dyDescent="0.25">
      <c r="A18" s="23"/>
      <c r="C18" s="3">
        <f>(C3-C12)/9</f>
        <v>109721.93333333338</v>
      </c>
      <c r="D18" t="s">
        <v>60</v>
      </c>
      <c r="K18" s="3"/>
      <c r="L18" s="7"/>
    </row>
    <row r="19" spans="1:12" x14ac:dyDescent="0.25">
      <c r="C19" s="1"/>
      <c r="J19" s="3"/>
      <c r="K19" s="7"/>
    </row>
    <row r="20" spans="1:12" x14ac:dyDescent="0.25">
      <c r="J20" s="3"/>
      <c r="K20" s="7"/>
    </row>
    <row r="21" spans="1:12" x14ac:dyDescent="0.25">
      <c r="A21" s="40"/>
      <c r="B21" s="41" t="s">
        <v>75</v>
      </c>
      <c r="C21" s="41" t="s">
        <v>19</v>
      </c>
      <c r="D21" s="41" t="s">
        <v>80</v>
      </c>
      <c r="E21" s="41" t="s">
        <v>104</v>
      </c>
      <c r="F21" s="43" t="s">
        <v>105</v>
      </c>
      <c r="H21" s="64" t="s">
        <v>107</v>
      </c>
      <c r="I21" s="64" t="s">
        <v>109</v>
      </c>
      <c r="J21" s="64" t="s">
        <v>111</v>
      </c>
    </row>
    <row r="22" spans="1:12" x14ac:dyDescent="0.25">
      <c r="A22" s="40" t="s">
        <v>112</v>
      </c>
      <c r="B22" s="41" t="s">
        <v>74</v>
      </c>
      <c r="C22" s="41" t="s">
        <v>99</v>
      </c>
      <c r="D22" s="41" t="s">
        <v>103</v>
      </c>
      <c r="E22" s="41" t="s">
        <v>82</v>
      </c>
      <c r="F22" s="43" t="s">
        <v>106</v>
      </c>
      <c r="H22" s="64" t="s">
        <v>108</v>
      </c>
      <c r="I22" s="64" t="s">
        <v>110</v>
      </c>
      <c r="J22" s="64" t="s">
        <v>105</v>
      </c>
    </row>
    <row r="23" spans="1:12" x14ac:dyDescent="0.25">
      <c r="A23" s="40">
        <v>2023</v>
      </c>
      <c r="B23" s="45">
        <f>C3</f>
        <v>3291658</v>
      </c>
      <c r="C23" s="47">
        <f>2205*B23/Backup!$D$32</f>
        <v>398083436.21861237</v>
      </c>
      <c r="D23" s="46">
        <f>Backup!D29</f>
        <v>437682000</v>
      </c>
      <c r="E23" s="61">
        <f t="shared" ref="E23:E32" si="8">C23-D23</f>
        <v>-39598563.781387627</v>
      </c>
      <c r="F23" s="63">
        <f>0.35*E23</f>
        <v>-13859497.323485669</v>
      </c>
      <c r="H23" s="65">
        <f>B23*Backup!K16</f>
        <v>30447836.5</v>
      </c>
      <c r="I23" s="65">
        <f>0.6*H23</f>
        <v>18268701.899999999</v>
      </c>
      <c r="J23" s="65">
        <f>I23+F23</f>
        <v>4409204.5765143298</v>
      </c>
    </row>
    <row r="24" spans="1:12" x14ac:dyDescent="0.25">
      <c r="A24" s="40">
        <v>2024</v>
      </c>
      <c r="B24" s="45">
        <f t="shared" ref="B24:B32" si="9">C4</f>
        <v>3181936.0666666664</v>
      </c>
      <c r="C24" s="47">
        <f>2205*B24/Backup!$D$32</f>
        <v>384813988.34465861</v>
      </c>
      <c r="D24" s="47">
        <f>D23*Backup!E51</f>
        <v>437160950</v>
      </c>
      <c r="E24" s="61">
        <f t="shared" si="8"/>
        <v>-52346961.655341387</v>
      </c>
      <c r="F24" s="63">
        <f t="shared" ref="F24:F32" si="10">0.35*E24</f>
        <v>-18321436.579369485</v>
      </c>
      <c r="H24" s="65">
        <f>B24*Backup!K17</f>
        <v>32471657.56033333</v>
      </c>
      <c r="I24" s="65">
        <f t="shared" ref="I24:I32" si="11">0.6*H24</f>
        <v>19482994.536199998</v>
      </c>
      <c r="J24" s="65">
        <f t="shared" ref="J24:J32" si="12">I24+F24</f>
        <v>1161557.9568305127</v>
      </c>
    </row>
    <row r="25" spans="1:12" x14ac:dyDescent="0.25">
      <c r="A25" s="40">
        <v>2025</v>
      </c>
      <c r="B25" s="45">
        <f t="shared" si="9"/>
        <v>3072214.1333333328</v>
      </c>
      <c r="C25" s="47">
        <f>2205*B25/Backup!$D$32</f>
        <v>371544540.47070485</v>
      </c>
      <c r="D25" s="47">
        <f>D24*Backup!E52</f>
        <v>435076750</v>
      </c>
      <c r="E25" s="61">
        <f t="shared" si="8"/>
        <v>-63532209.529295146</v>
      </c>
      <c r="F25" s="63">
        <f t="shared" si="10"/>
        <v>-22236273.335253298</v>
      </c>
      <c r="H25" s="65">
        <f>B25*Backup!K18</f>
        <v>34608492.211999997</v>
      </c>
      <c r="I25" s="65">
        <f t="shared" si="11"/>
        <v>20765095.327199999</v>
      </c>
      <c r="J25" s="65">
        <f t="shared" si="12"/>
        <v>-1471178.008053299</v>
      </c>
    </row>
    <row r="26" spans="1:12" x14ac:dyDescent="0.25">
      <c r="A26" s="40">
        <v>2026</v>
      </c>
      <c r="B26" s="45">
        <f t="shared" si="9"/>
        <v>2962492.1999999993</v>
      </c>
      <c r="C26" s="47">
        <f>2205*B26/Backup!$D$32</f>
        <v>358275092.59675103</v>
      </c>
      <c r="D26" s="47">
        <f>D25*Backup!E53</f>
        <v>432471500</v>
      </c>
      <c r="E26" s="61">
        <f t="shared" si="8"/>
        <v>-74196407.403248966</v>
      </c>
      <c r="F26" s="63">
        <f t="shared" si="10"/>
        <v>-25968742.591137137</v>
      </c>
      <c r="H26" s="65">
        <f>B26*Backup!K19</f>
        <v>36853402.967999987</v>
      </c>
      <c r="I26" s="65">
        <f t="shared" si="11"/>
        <v>22112041.780799992</v>
      </c>
      <c r="J26" s="65">
        <f t="shared" si="12"/>
        <v>-3856700.8103371449</v>
      </c>
    </row>
    <row r="27" spans="1:12" x14ac:dyDescent="0.25">
      <c r="A27" s="40">
        <v>2027</v>
      </c>
      <c r="B27" s="45">
        <f t="shared" si="9"/>
        <v>2852770.2666666657</v>
      </c>
      <c r="C27" s="47">
        <f>2205*B27/Backup!$D$32</f>
        <v>345005644.72279727</v>
      </c>
      <c r="D27" s="47">
        <f>D26*Backup!E54</f>
        <v>428824150</v>
      </c>
      <c r="E27" s="61">
        <f t="shared" si="8"/>
        <v>-83818505.277202725</v>
      </c>
      <c r="F27" s="63">
        <f t="shared" si="10"/>
        <v>-29336476.847020954</v>
      </c>
      <c r="H27" s="65">
        <f>B27*Backup!K20</f>
        <v>39168535.761333324</v>
      </c>
      <c r="I27" s="65">
        <f t="shared" si="11"/>
        <v>23501121.456799995</v>
      </c>
      <c r="J27" s="65">
        <f t="shared" si="12"/>
        <v>-5835355.3902209587</v>
      </c>
    </row>
    <row r="28" spans="1:12" x14ac:dyDescent="0.25">
      <c r="A28" s="40">
        <v>2028</v>
      </c>
      <c r="B28" s="45">
        <f t="shared" si="9"/>
        <v>2743048.3333333321</v>
      </c>
      <c r="C28" s="47">
        <f>2205*B28/Backup!$D$32</f>
        <v>331736196.84884351</v>
      </c>
      <c r="D28" s="47">
        <f>D27*Backup!E55</f>
        <v>425176800</v>
      </c>
      <c r="E28" s="61">
        <f t="shared" si="8"/>
        <v>-93440603.151156485</v>
      </c>
      <c r="F28" s="63">
        <f t="shared" si="10"/>
        <v>-32704211.102904767</v>
      </c>
      <c r="H28" s="65">
        <f>B28*Backup!K21</f>
        <v>41598327.974999979</v>
      </c>
      <c r="I28" s="65">
        <f t="shared" si="11"/>
        <v>24958996.784999985</v>
      </c>
      <c r="J28" s="65">
        <f t="shared" si="12"/>
        <v>-7745214.3179047816</v>
      </c>
    </row>
    <row r="29" spans="1:12" x14ac:dyDescent="0.25">
      <c r="A29" s="40">
        <v>2029</v>
      </c>
      <c r="B29" s="45">
        <f t="shared" si="9"/>
        <v>2633326.3999999985</v>
      </c>
      <c r="C29" s="47">
        <f>2205*B29/Backup!$D$32</f>
        <v>318466748.97488976</v>
      </c>
      <c r="D29" s="47">
        <f>D28*Backup!E56</f>
        <v>421529450</v>
      </c>
      <c r="E29" s="61">
        <f t="shared" si="8"/>
        <v>-103062701.02511024</v>
      </c>
      <c r="F29" s="63">
        <f t="shared" si="10"/>
        <v>-36071945.35878858</v>
      </c>
      <c r="H29" s="65">
        <f>B29*Backup!K22</f>
        <v>44121383.831999972</v>
      </c>
      <c r="I29" s="65">
        <f t="shared" si="11"/>
        <v>26472830.299199983</v>
      </c>
      <c r="J29" s="65">
        <f t="shared" si="12"/>
        <v>-9599115.0595885962</v>
      </c>
    </row>
    <row r="30" spans="1:12" x14ac:dyDescent="0.25">
      <c r="A30" s="40">
        <v>2030</v>
      </c>
      <c r="B30" s="45">
        <f t="shared" si="9"/>
        <v>2523604.4666666649</v>
      </c>
      <c r="C30" s="47">
        <f>2205*B30/Backup!$D$32</f>
        <v>305197301.10093594</v>
      </c>
      <c r="D30" s="47">
        <f>D29*Backup!E57</f>
        <v>416840000</v>
      </c>
      <c r="E30" s="61">
        <f t="shared" si="8"/>
        <v>-111642698.89906406</v>
      </c>
      <c r="F30" s="63">
        <f t="shared" si="10"/>
        <v>-39074944.614672422</v>
      </c>
      <c r="H30" s="65">
        <f>B30*Backup!K23</f>
        <v>46711918.677999966</v>
      </c>
      <c r="I30" s="65">
        <f t="shared" si="11"/>
        <v>28027151.20679998</v>
      </c>
      <c r="J30" s="65">
        <f t="shared" si="12"/>
        <v>-11047793.407872442</v>
      </c>
    </row>
    <row r="31" spans="1:12" x14ac:dyDescent="0.25">
      <c r="A31" s="40">
        <v>2031</v>
      </c>
      <c r="B31" s="45">
        <f t="shared" si="9"/>
        <v>2413882.5333333313</v>
      </c>
      <c r="C31" s="47">
        <f>2205*B31/Backup!$D$32</f>
        <v>291927853.22698218</v>
      </c>
      <c r="D31" s="47">
        <f>D30*Backup!E58</f>
        <v>413713700</v>
      </c>
      <c r="E31" s="61">
        <f t="shared" si="8"/>
        <v>-121785846.77301782</v>
      </c>
      <c r="F31" s="63">
        <f t="shared" si="10"/>
        <v>-42625046.370556235</v>
      </c>
      <c r="H31" s="65">
        <f>B31*Backup!K24</f>
        <v>47867290.635999963</v>
      </c>
      <c r="I31" s="65">
        <f t="shared" si="11"/>
        <v>28720374.381599978</v>
      </c>
      <c r="J31" s="65">
        <f t="shared" si="12"/>
        <v>-13904671.988956258</v>
      </c>
    </row>
    <row r="32" spans="1:12" x14ac:dyDescent="0.25">
      <c r="A32" s="40">
        <v>2032</v>
      </c>
      <c r="B32" s="45">
        <f t="shared" si="9"/>
        <v>2304160.5999999996</v>
      </c>
      <c r="C32" s="47">
        <f>2205*B32/Backup!$D$32</f>
        <v>278658405.3530286</v>
      </c>
      <c r="D32" s="47">
        <f>D31*Backup!E59</f>
        <v>410066350</v>
      </c>
      <c r="E32" s="61">
        <f t="shared" si="8"/>
        <v>-131407944.6469714</v>
      </c>
      <c r="F32" s="63">
        <f t="shared" si="10"/>
        <v>-45992780.626439989</v>
      </c>
      <c r="H32" s="65">
        <f>B32*Backup!K25</f>
        <v>48917329.537999995</v>
      </c>
      <c r="I32" s="65">
        <f t="shared" si="11"/>
        <v>29350397.722799998</v>
      </c>
      <c r="J32" s="65">
        <f t="shared" si="12"/>
        <v>-16642382.903639991</v>
      </c>
    </row>
    <row r="33" spans="1:11" x14ac:dyDescent="0.25">
      <c r="A33" s="40"/>
      <c r="B33" s="44"/>
      <c r="C33" s="62">
        <f>C32/C23</f>
        <v>0.69999999999999984</v>
      </c>
      <c r="D33" s="53">
        <f>D32/D23</f>
        <v>0.93690476190476191</v>
      </c>
      <c r="E33" s="44"/>
      <c r="F33" s="51">
        <f>SUM(F23:F32)</f>
        <v>-306191354.74962854</v>
      </c>
      <c r="H33" s="66"/>
      <c r="I33" s="65">
        <f>SUM(I23:I32)</f>
        <v>241659705.39639989</v>
      </c>
      <c r="J33" s="65">
        <f>SUM(J23:J32)</f>
        <v>-64531649.353228629</v>
      </c>
    </row>
    <row r="34" spans="1:11" x14ac:dyDescent="0.25">
      <c r="J34" s="3"/>
      <c r="K34" s="7"/>
    </row>
    <row r="35" spans="1:11" x14ac:dyDescent="0.25">
      <c r="J35" s="10"/>
      <c r="K35" s="11"/>
    </row>
    <row r="36" spans="1:11" x14ac:dyDescent="0.25">
      <c r="J36" s="10"/>
      <c r="K36" s="11"/>
    </row>
    <row r="37" spans="1:11" x14ac:dyDescent="0.25">
      <c r="J37" s="3"/>
      <c r="K37" s="7"/>
    </row>
    <row r="38" spans="1:11" x14ac:dyDescent="0.25">
      <c r="J38" s="3"/>
      <c r="K38" s="7"/>
    </row>
    <row r="39" spans="1:11" x14ac:dyDescent="0.25">
      <c r="J39" s="3"/>
      <c r="K39" s="7"/>
    </row>
    <row r="40" spans="1:11" x14ac:dyDescent="0.25">
      <c r="J40" s="3"/>
      <c r="K40" s="7"/>
    </row>
    <row r="41" spans="1:11" x14ac:dyDescent="0.25">
      <c r="J41" s="3"/>
      <c r="K41" s="7"/>
    </row>
    <row r="42" spans="1:11" x14ac:dyDescent="0.25">
      <c r="J42" s="3"/>
      <c r="K42" s="7"/>
    </row>
    <row r="43" spans="1:11" x14ac:dyDescent="0.25">
      <c r="J43" s="3"/>
      <c r="K43" s="7"/>
    </row>
    <row r="44" spans="1:11" x14ac:dyDescent="0.25">
      <c r="J44" s="3"/>
      <c r="K44" s="7"/>
    </row>
    <row r="45" spans="1:11" x14ac:dyDescent="0.25">
      <c r="J45" s="3"/>
      <c r="K45" s="7"/>
    </row>
    <row r="46" spans="1:11" x14ac:dyDescent="0.25">
      <c r="J46" s="3"/>
      <c r="K46" s="7"/>
    </row>
    <row r="47" spans="1:11" x14ac:dyDescent="0.25">
      <c r="J47" s="3"/>
      <c r="K47" s="7"/>
    </row>
    <row r="48" spans="1:11" x14ac:dyDescent="0.25">
      <c r="J48" s="3"/>
      <c r="K48" s="7"/>
    </row>
    <row r="49" spans="10:11" x14ac:dyDescent="0.25">
      <c r="J49" s="3"/>
      <c r="K49" s="7"/>
    </row>
    <row r="50" spans="10:11" x14ac:dyDescent="0.25">
      <c r="J50" s="3"/>
      <c r="K50" s="7"/>
    </row>
    <row r="51" spans="10:11" x14ac:dyDescent="0.25">
      <c r="J51" s="3"/>
      <c r="K51" s="7"/>
    </row>
    <row r="52" spans="10:11" x14ac:dyDescent="0.25">
      <c r="J52" s="3"/>
      <c r="K52" s="7"/>
    </row>
    <row r="53" spans="10:11" x14ac:dyDescent="0.25">
      <c r="J53" s="3"/>
      <c r="K53" s="7"/>
    </row>
    <row r="54" spans="10:11" x14ac:dyDescent="0.25">
      <c r="J54" s="3"/>
      <c r="K54" s="7"/>
    </row>
    <row r="55" spans="10:11" x14ac:dyDescent="0.25">
      <c r="J55" s="3"/>
      <c r="K55" s="7"/>
    </row>
    <row r="56" spans="10:11" x14ac:dyDescent="0.25">
      <c r="J56" s="3"/>
      <c r="K56" s="7"/>
    </row>
    <row r="57" spans="10:11" x14ac:dyDescent="0.25">
      <c r="J57" s="3"/>
      <c r="K57" s="7"/>
    </row>
    <row r="58" spans="10:11" x14ac:dyDescent="0.25">
      <c r="J58" s="3"/>
      <c r="K58" s="7"/>
    </row>
    <row r="59" spans="10:11" x14ac:dyDescent="0.25">
      <c r="J59" s="3"/>
      <c r="K59" s="7"/>
    </row>
    <row r="60" spans="10:11" x14ac:dyDescent="0.25">
      <c r="J60" s="3"/>
      <c r="K60" s="7"/>
    </row>
    <row r="61" spans="10:11" x14ac:dyDescent="0.25">
      <c r="J61" s="3"/>
      <c r="K61" s="7"/>
    </row>
    <row r="62" spans="10:11" x14ac:dyDescent="0.25">
      <c r="J62" s="3"/>
      <c r="K62" s="7"/>
    </row>
    <row r="63" spans="10:11" x14ac:dyDescent="0.25">
      <c r="J63" s="3"/>
      <c r="K63" s="7"/>
    </row>
    <row r="64" spans="10:11" x14ac:dyDescent="0.25">
      <c r="J64" s="3"/>
      <c r="K64" s="7"/>
    </row>
    <row r="65" spans="10:11" x14ac:dyDescent="0.25">
      <c r="J65" s="3"/>
      <c r="K65" s="7"/>
    </row>
    <row r="66" spans="10:11" x14ac:dyDescent="0.25">
      <c r="J66" s="3"/>
      <c r="K66" s="7"/>
    </row>
    <row r="67" spans="10:11" x14ac:dyDescent="0.25">
      <c r="J67" s="3"/>
      <c r="K67" s="7"/>
    </row>
    <row r="68" spans="10:11" x14ac:dyDescent="0.25">
      <c r="J68" s="3"/>
      <c r="K68" s="7"/>
    </row>
    <row r="69" spans="10:11" x14ac:dyDescent="0.25">
      <c r="J69" s="3"/>
      <c r="K69" s="7"/>
    </row>
    <row r="70" spans="10:11" x14ac:dyDescent="0.25">
      <c r="J70" s="3"/>
      <c r="K70" s="7"/>
    </row>
    <row r="71" spans="10:11" x14ac:dyDescent="0.25">
      <c r="J71" s="3"/>
      <c r="K71" s="7"/>
    </row>
    <row r="72" spans="10:11" x14ac:dyDescent="0.25">
      <c r="J72" s="3"/>
      <c r="K72" s="7"/>
    </row>
    <row r="73" spans="10:11" x14ac:dyDescent="0.25">
      <c r="J73" s="3"/>
      <c r="K73" s="7"/>
    </row>
    <row r="74" spans="10:11" x14ac:dyDescent="0.25">
      <c r="J74" s="3"/>
      <c r="K74" s="7"/>
    </row>
    <row r="75" spans="10:11" x14ac:dyDescent="0.25">
      <c r="J75" s="3"/>
      <c r="K75" s="7"/>
    </row>
    <row r="76" spans="10:11" x14ac:dyDescent="0.25">
      <c r="J76" s="3"/>
      <c r="K76" s="7"/>
    </row>
    <row r="77" spans="10:11" x14ac:dyDescent="0.25">
      <c r="J77" s="3"/>
      <c r="K77" s="7"/>
    </row>
    <row r="78" spans="10:11" x14ac:dyDescent="0.25">
      <c r="J78" s="3"/>
      <c r="K78" s="7"/>
    </row>
    <row r="79" spans="10:11" x14ac:dyDescent="0.25">
      <c r="J79" s="3"/>
      <c r="K79" s="7"/>
    </row>
    <row r="80" spans="10:11" x14ac:dyDescent="0.25">
      <c r="J80" s="3"/>
      <c r="K80" s="7"/>
    </row>
    <row r="81" spans="10:11" x14ac:dyDescent="0.25">
      <c r="J81" s="3"/>
      <c r="K81" s="7"/>
    </row>
    <row r="82" spans="10:11" x14ac:dyDescent="0.25">
      <c r="J82" s="3"/>
      <c r="K82" s="7"/>
    </row>
    <row r="83" spans="10:11" x14ac:dyDescent="0.25">
      <c r="J83" s="3"/>
      <c r="K83" s="7"/>
    </row>
    <row r="84" spans="10:11" x14ac:dyDescent="0.25">
      <c r="J84" s="3"/>
      <c r="K84" s="7"/>
    </row>
    <row r="85" spans="10:11" x14ac:dyDescent="0.25">
      <c r="J85" s="3"/>
      <c r="K85" s="7"/>
    </row>
    <row r="86" spans="10:11" x14ac:dyDescent="0.25">
      <c r="J86" s="3"/>
      <c r="K86" s="7"/>
    </row>
    <row r="87" spans="10:11" x14ac:dyDescent="0.25">
      <c r="J87" s="3"/>
      <c r="K87" s="7"/>
    </row>
    <row r="88" spans="10:11" x14ac:dyDescent="0.25">
      <c r="J88" s="3"/>
      <c r="K88" s="7"/>
    </row>
    <row r="89" spans="10:11" x14ac:dyDescent="0.25">
      <c r="J89" s="3"/>
      <c r="K89" s="7"/>
    </row>
    <row r="90" spans="10:11" x14ac:dyDescent="0.25">
      <c r="J90" s="3"/>
      <c r="K90" s="7"/>
    </row>
    <row r="91" spans="10:11" x14ac:dyDescent="0.25">
      <c r="J91" s="3"/>
      <c r="K91" s="7"/>
    </row>
    <row r="92" spans="10:11" x14ac:dyDescent="0.25">
      <c r="J92" s="3"/>
      <c r="K92" s="7"/>
    </row>
    <row r="93" spans="10:11" x14ac:dyDescent="0.25">
      <c r="J93" s="3"/>
      <c r="K93" s="7"/>
    </row>
    <row r="94" spans="10:11" x14ac:dyDescent="0.25">
      <c r="J94" s="3"/>
      <c r="K94" s="7"/>
    </row>
    <row r="95" spans="10:11" x14ac:dyDescent="0.25">
      <c r="J95" s="3"/>
      <c r="K95" s="7"/>
    </row>
    <row r="96" spans="10:11" x14ac:dyDescent="0.25">
      <c r="J96" s="3"/>
      <c r="K96" s="7"/>
    </row>
    <row r="97" spans="10:11" x14ac:dyDescent="0.25">
      <c r="J97" s="3"/>
      <c r="K97" s="7"/>
    </row>
    <row r="98" spans="10:11" x14ac:dyDescent="0.25">
      <c r="J98" s="3"/>
      <c r="K98" s="7"/>
    </row>
    <row r="99" spans="10:11" x14ac:dyDescent="0.25">
      <c r="J99" s="3"/>
      <c r="K99" s="7"/>
    </row>
  </sheetData>
  <dataValidations count="1">
    <dataValidation type="list" allowBlank="1" showInputMessage="1" showErrorMessage="1" sqref="B2" xr:uid="{12DAD623-C002-45BE-9F78-B49BEE8A7F36}">
      <formula1>$K$2:$K$99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9"/>
  <sheetViews>
    <sheetView zoomScale="80" zoomScaleNormal="80" workbookViewId="0">
      <selection activeCell="A3" sqref="A3:XFD5"/>
    </sheetView>
  </sheetViews>
  <sheetFormatPr defaultColWidth="11" defaultRowHeight="15.75" x14ac:dyDescent="0.25"/>
  <cols>
    <col min="2" max="2" width="21.625" customWidth="1"/>
    <col min="3" max="3" width="18.625" customWidth="1"/>
    <col min="4" max="4" width="14" bestFit="1" customWidth="1"/>
    <col min="5" max="5" width="13.125" bestFit="1" customWidth="1"/>
    <col min="6" max="6" width="18.625" customWidth="1"/>
    <col min="7" max="7" width="15.75" customWidth="1"/>
    <col min="10" max="10" width="14" bestFit="1" customWidth="1"/>
    <col min="12" max="12" width="12.375" customWidth="1"/>
  </cols>
  <sheetData>
    <row r="1" spans="1:13" ht="78.75" x14ac:dyDescent="0.25">
      <c r="A1" s="23" t="s">
        <v>62</v>
      </c>
      <c r="B1" s="2" t="s">
        <v>0</v>
      </c>
      <c r="C1" s="2" t="s">
        <v>1</v>
      </c>
      <c r="D1" s="5" t="s">
        <v>2</v>
      </c>
      <c r="E1" s="2" t="s">
        <v>4</v>
      </c>
      <c r="F1" s="2" t="s">
        <v>55</v>
      </c>
      <c r="G1" s="2" t="s">
        <v>63</v>
      </c>
      <c r="H1" s="2" t="s">
        <v>6</v>
      </c>
      <c r="L1" t="s">
        <v>56</v>
      </c>
    </row>
    <row r="2" spans="1:13" x14ac:dyDescent="0.25">
      <c r="A2" s="23">
        <v>2019</v>
      </c>
      <c r="B2" s="1">
        <f>K2</f>
        <v>1067958.192</v>
      </c>
      <c r="C2" s="2"/>
      <c r="D2" s="5"/>
      <c r="E2" s="2"/>
      <c r="F2" s="2"/>
      <c r="G2" s="2"/>
      <c r="H2" s="2"/>
      <c r="K2" s="33">
        <f>Backup!D44</f>
        <v>1067958.192</v>
      </c>
      <c r="L2" s="34"/>
      <c r="M2" s="35"/>
    </row>
    <row r="3" spans="1:13" x14ac:dyDescent="0.25">
      <c r="A3" s="23">
        <v>2023</v>
      </c>
      <c r="B3" s="33">
        <f>K3</f>
        <v>1067958.192</v>
      </c>
      <c r="C3" s="1">
        <v>877715</v>
      </c>
      <c r="D3" s="3">
        <f>C3*1.1</f>
        <v>965486.50000000012</v>
      </c>
      <c r="E3" s="4">
        <f t="shared" ref="E3:E12" si="0">D3-B3</f>
        <v>-102471.69199999992</v>
      </c>
      <c r="F3" s="4">
        <f t="shared" ref="F3:F12" si="1">2205*E3</f>
        <v>-225950080.85999984</v>
      </c>
      <c r="G3" s="4">
        <f>F3/Backup!$D$42</f>
        <v>-12517004.190725839</v>
      </c>
      <c r="H3" s="4">
        <f t="shared" ref="H3:H4" si="2">G3/500</f>
        <v>-25034.008381451677</v>
      </c>
      <c r="K3" s="36">
        <f>K2</f>
        <v>1067958.192</v>
      </c>
      <c r="L3" s="34"/>
      <c r="M3" s="35">
        <v>2023</v>
      </c>
    </row>
    <row r="4" spans="1:13" x14ac:dyDescent="0.25">
      <c r="A4" s="23">
        <v>2024</v>
      </c>
      <c r="B4" s="33">
        <f t="shared" ref="B4:B12" si="3">K4</f>
        <v>1066686.8132</v>
      </c>
      <c r="C4" s="6">
        <f>C3-$C$18</f>
        <v>848457.83333333337</v>
      </c>
      <c r="D4" s="3">
        <f>C4*1.1</f>
        <v>933303.61666666681</v>
      </c>
      <c r="E4" s="4">
        <f t="shared" si="0"/>
        <v>-133383.19653333316</v>
      </c>
      <c r="F4" s="4">
        <f t="shared" si="1"/>
        <v>-294109948.35599965</v>
      </c>
      <c r="G4" s="4">
        <f>F4/Backup!$D$42</f>
        <v>-16292870.717701634</v>
      </c>
      <c r="H4" s="4">
        <f t="shared" si="2"/>
        <v>-32585.74143540327</v>
      </c>
      <c r="K4" s="36">
        <f>K3*L4</f>
        <v>1066686.8132</v>
      </c>
      <c r="L4" s="37">
        <f>Backup!E51</f>
        <v>0.99880952380952381</v>
      </c>
      <c r="M4" s="35">
        <v>2024</v>
      </c>
    </row>
    <row r="5" spans="1:13" x14ac:dyDescent="0.25">
      <c r="A5" s="23">
        <v>2025</v>
      </c>
      <c r="B5" s="33">
        <f t="shared" si="3"/>
        <v>1061601.298</v>
      </c>
      <c r="C5" s="6">
        <f t="shared" ref="C5:C11" si="4">C4-$C$18</f>
        <v>819200.66666666674</v>
      </c>
      <c r="D5" s="3">
        <f>C5*1.1</f>
        <v>901120.73333333351</v>
      </c>
      <c r="E5" s="4">
        <f t="shared" si="0"/>
        <v>-160480.56466666644</v>
      </c>
      <c r="F5" s="4">
        <f t="shared" si="1"/>
        <v>-353859645.0899995</v>
      </c>
      <c r="G5" s="4">
        <f>F5/Backup!$D$42</f>
        <v>-19602837.244677432</v>
      </c>
      <c r="H5" s="4">
        <f>G5/500</f>
        <v>-39205.67448935486</v>
      </c>
      <c r="K5" s="36">
        <f t="shared" ref="K5:K12" si="5">K4*L5</f>
        <v>1061601.298</v>
      </c>
      <c r="L5" s="37">
        <f>Backup!E52</f>
        <v>0.99523241954707986</v>
      </c>
      <c r="M5" s="35">
        <v>2025</v>
      </c>
    </row>
    <row r="6" spans="1:13" x14ac:dyDescent="0.25">
      <c r="A6" s="23">
        <v>2026</v>
      </c>
      <c r="B6" s="33">
        <f t="shared" si="3"/>
        <v>1055244.4039999999</v>
      </c>
      <c r="C6" s="6">
        <f t="shared" si="4"/>
        <v>789943.50000000012</v>
      </c>
      <c r="D6" s="3">
        <f t="shared" ref="D6:D12" si="6">C6*1.1</f>
        <v>868937.85000000021</v>
      </c>
      <c r="E6" s="4">
        <f t="shared" si="0"/>
        <v>-186306.55399999965</v>
      </c>
      <c r="F6" s="4">
        <f t="shared" si="1"/>
        <v>-410805951.56999922</v>
      </c>
      <c r="G6" s="4">
        <f>F6/Backup!$D$42</f>
        <v>-22757503.77165322</v>
      </c>
      <c r="H6" s="4">
        <f t="shared" ref="H6:H12" si="7">G6/500</f>
        <v>-45515.007543306441</v>
      </c>
      <c r="K6" s="36">
        <f t="shared" si="5"/>
        <v>1055244.4039999999</v>
      </c>
      <c r="L6" s="37">
        <f>Backup!E53</f>
        <v>0.99401197604790414</v>
      </c>
      <c r="M6" s="35">
        <v>2026</v>
      </c>
    </row>
    <row r="7" spans="1:13" x14ac:dyDescent="0.25">
      <c r="A7" s="23">
        <v>2027</v>
      </c>
      <c r="B7" s="33">
        <f t="shared" si="3"/>
        <v>1046344.7523999999</v>
      </c>
      <c r="C7" s="6">
        <f t="shared" si="4"/>
        <v>760686.33333333349</v>
      </c>
      <c r="D7" s="3">
        <f t="shared" si="6"/>
        <v>836754.96666666691</v>
      </c>
      <c r="E7" s="4">
        <f t="shared" si="0"/>
        <v>-209589.78573333297</v>
      </c>
      <c r="F7" s="4">
        <f t="shared" si="1"/>
        <v>-462145477.54199922</v>
      </c>
      <c r="G7" s="4">
        <f>F7/Backup!$D$42</f>
        <v>-25601570.298629027</v>
      </c>
      <c r="H7" s="4">
        <f t="shared" si="7"/>
        <v>-51203.140597258054</v>
      </c>
      <c r="K7" s="36">
        <f t="shared" si="5"/>
        <v>1046344.7523999999</v>
      </c>
      <c r="L7" s="37">
        <f>Backup!E54</f>
        <v>0.99156626506024093</v>
      </c>
      <c r="M7" s="35">
        <v>2027</v>
      </c>
    </row>
    <row r="8" spans="1:13" x14ac:dyDescent="0.25">
      <c r="A8" s="23">
        <v>2028</v>
      </c>
      <c r="B8" s="33">
        <f t="shared" si="3"/>
        <v>1037445.1007999999</v>
      </c>
      <c r="C8" s="6">
        <f t="shared" si="4"/>
        <v>731429.16666666686</v>
      </c>
      <c r="D8" s="3">
        <f t="shared" si="6"/>
        <v>804572.0833333336</v>
      </c>
      <c r="E8" s="4">
        <f t="shared" si="0"/>
        <v>-232873.01746666629</v>
      </c>
      <c r="F8" s="4">
        <f t="shared" si="1"/>
        <v>-513485003.51399916</v>
      </c>
      <c r="G8" s="4">
        <f>F8/Backup!$D$42</f>
        <v>-28445636.825604826</v>
      </c>
      <c r="H8" s="4">
        <f t="shared" si="7"/>
        <v>-56891.273651209653</v>
      </c>
      <c r="K8" s="36">
        <f t="shared" si="5"/>
        <v>1037445.1007999999</v>
      </c>
      <c r="L8" s="37">
        <f>Backup!E55</f>
        <v>0.99149453219927097</v>
      </c>
      <c r="M8" s="35">
        <v>2028</v>
      </c>
    </row>
    <row r="9" spans="1:13" x14ac:dyDescent="0.25">
      <c r="A9" s="23">
        <v>2029</v>
      </c>
      <c r="B9" s="33">
        <f t="shared" si="3"/>
        <v>1028545.4491999999</v>
      </c>
      <c r="C9" s="6">
        <f t="shared" si="4"/>
        <v>702172.00000000023</v>
      </c>
      <c r="D9" s="3">
        <f t="shared" si="6"/>
        <v>772389.2000000003</v>
      </c>
      <c r="E9" s="4">
        <f t="shared" si="0"/>
        <v>-256156.24919999961</v>
      </c>
      <c r="F9" s="4">
        <f t="shared" si="1"/>
        <v>-564824529.48599911</v>
      </c>
      <c r="G9" s="4">
        <f>F9/Backup!$D$42</f>
        <v>-31289703.352580629</v>
      </c>
      <c r="H9" s="4">
        <f t="shared" si="7"/>
        <v>-62579.406705161258</v>
      </c>
      <c r="K9" s="36">
        <f t="shared" si="5"/>
        <v>1028545.4491999999</v>
      </c>
      <c r="L9" s="37">
        <f>Backup!E56</f>
        <v>0.99142156862745101</v>
      </c>
      <c r="M9" s="35">
        <v>2029</v>
      </c>
    </row>
    <row r="10" spans="1:13" x14ac:dyDescent="0.25">
      <c r="A10" s="23">
        <v>2030</v>
      </c>
      <c r="B10" s="33">
        <f t="shared" si="3"/>
        <v>1017103.0399999999</v>
      </c>
      <c r="C10" s="6">
        <f t="shared" si="4"/>
        <v>672914.8333333336</v>
      </c>
      <c r="D10" s="3">
        <f t="shared" si="6"/>
        <v>740206.316666667</v>
      </c>
      <c r="E10" s="4">
        <f t="shared" si="0"/>
        <v>-276896.72333333292</v>
      </c>
      <c r="F10" s="4">
        <f t="shared" si="1"/>
        <v>-610557274.94999909</v>
      </c>
      <c r="G10" s="4">
        <f>F10/Backup!$D$42</f>
        <v>-33823169.879556432</v>
      </c>
      <c r="H10" s="4">
        <f t="shared" si="7"/>
        <v>-67646.33975911286</v>
      </c>
      <c r="K10" s="36">
        <f t="shared" si="5"/>
        <v>1017103.0399999999</v>
      </c>
      <c r="L10" s="37">
        <f>Backup!E57</f>
        <v>0.9888751545117429</v>
      </c>
      <c r="M10" s="35">
        <v>2030</v>
      </c>
    </row>
    <row r="11" spans="1:13" x14ac:dyDescent="0.25">
      <c r="A11" s="23">
        <v>2031</v>
      </c>
      <c r="B11" s="33">
        <f t="shared" si="3"/>
        <v>1009474.7672</v>
      </c>
      <c r="C11" s="6">
        <f t="shared" si="4"/>
        <v>643657.66666666698</v>
      </c>
      <c r="D11" s="3">
        <f t="shared" si="6"/>
        <v>708023.4333333337</v>
      </c>
      <c r="E11" s="4">
        <f t="shared" si="0"/>
        <v>-301451.3338666663</v>
      </c>
      <c r="F11" s="4">
        <f t="shared" si="1"/>
        <v>-664700191.17599916</v>
      </c>
      <c r="G11" s="4">
        <f>F11/Backup!$D$42</f>
        <v>-36822536.406532243</v>
      </c>
      <c r="H11" s="4">
        <f t="shared" si="7"/>
        <v>-73645.072813064486</v>
      </c>
      <c r="K11" s="36">
        <f t="shared" si="5"/>
        <v>1009474.7672</v>
      </c>
      <c r="L11" s="37">
        <f>Backup!E58</f>
        <v>0.99250000000000005</v>
      </c>
      <c r="M11" s="35">
        <v>2031</v>
      </c>
    </row>
    <row r="12" spans="1:13" x14ac:dyDescent="0.25">
      <c r="A12" s="23">
        <v>2032</v>
      </c>
      <c r="B12" s="33">
        <f t="shared" si="3"/>
        <v>1000575.1155999999</v>
      </c>
      <c r="C12" s="6">
        <f>C17</f>
        <v>614400.5</v>
      </c>
      <c r="D12" s="3">
        <f t="shared" si="6"/>
        <v>675840.55</v>
      </c>
      <c r="E12" s="4">
        <f t="shared" si="0"/>
        <v>-324734.56559999986</v>
      </c>
      <c r="F12" s="4">
        <f t="shared" si="1"/>
        <v>-716039717.14799964</v>
      </c>
      <c r="G12" s="4">
        <f>F12/Backup!$D$42</f>
        <v>-39666602.933508076</v>
      </c>
      <c r="H12" s="4">
        <f t="shared" si="7"/>
        <v>-79333.20586701615</v>
      </c>
      <c r="K12" s="36">
        <f t="shared" si="5"/>
        <v>1000575.1155999999</v>
      </c>
      <c r="L12" s="37">
        <f>Backup!E59</f>
        <v>0.99118387909319894</v>
      </c>
      <c r="M12" s="35">
        <v>2032</v>
      </c>
    </row>
    <row r="13" spans="1:13" x14ac:dyDescent="0.25">
      <c r="A13" s="23"/>
      <c r="K13" s="3"/>
      <c r="L13" s="7"/>
    </row>
    <row r="14" spans="1:13" x14ac:dyDescent="0.25">
      <c r="A14" s="23" t="s">
        <v>7</v>
      </c>
      <c r="B14" s="14">
        <f>B12/B3</f>
        <v>0.9369047619047618</v>
      </c>
      <c r="C14" s="12">
        <f>C12/C3</f>
        <v>0.7</v>
      </c>
      <c r="K14" s="3"/>
      <c r="L14" s="7"/>
    </row>
    <row r="15" spans="1:13" x14ac:dyDescent="0.25">
      <c r="A15" s="23" t="s">
        <v>54</v>
      </c>
      <c r="B15" s="14">
        <f>1-B14</f>
        <v>6.3095238095238204E-2</v>
      </c>
      <c r="C15" s="13"/>
      <c r="K15" s="3"/>
      <c r="L15" s="7"/>
    </row>
    <row r="16" spans="1:13" x14ac:dyDescent="0.25">
      <c r="A16" s="23"/>
      <c r="B16" t="s">
        <v>3</v>
      </c>
      <c r="C16" s="3"/>
      <c r="K16" s="3"/>
      <c r="L16" s="7"/>
    </row>
    <row r="17" spans="1:12" x14ac:dyDescent="0.25">
      <c r="A17" s="23"/>
      <c r="C17" s="1">
        <f>0.7*C3</f>
        <v>614400.5</v>
      </c>
      <c r="D17" t="s">
        <v>8</v>
      </c>
      <c r="K17" s="3"/>
      <c r="L17" s="7"/>
    </row>
    <row r="18" spans="1:12" x14ac:dyDescent="0.25">
      <c r="A18" s="23"/>
      <c r="C18" s="3">
        <f>(C3-C12)/9</f>
        <v>29257.166666666668</v>
      </c>
      <c r="D18" t="s">
        <v>60</v>
      </c>
      <c r="K18" s="3"/>
      <c r="L18" s="7"/>
    </row>
    <row r="19" spans="1:12" x14ac:dyDescent="0.25">
      <c r="C19" s="1"/>
      <c r="J19" s="3"/>
      <c r="K19" s="7"/>
    </row>
    <row r="20" spans="1:12" x14ac:dyDescent="0.25">
      <c r="J20" s="3"/>
      <c r="K20" s="7"/>
    </row>
    <row r="21" spans="1:12" x14ac:dyDescent="0.25">
      <c r="J21" s="3"/>
      <c r="K21" s="7"/>
    </row>
    <row r="22" spans="1:12" x14ac:dyDescent="0.25">
      <c r="J22" s="3"/>
      <c r="K22" s="7"/>
    </row>
    <row r="23" spans="1:12" x14ac:dyDescent="0.25">
      <c r="J23" s="8"/>
      <c r="K23" s="9"/>
    </row>
    <row r="24" spans="1:12" x14ac:dyDescent="0.25">
      <c r="J24" s="8"/>
      <c r="K24" s="9"/>
    </row>
    <row r="25" spans="1:12" x14ac:dyDescent="0.25">
      <c r="J25" s="3"/>
      <c r="K25" s="7"/>
    </row>
    <row r="26" spans="1:12" x14ac:dyDescent="0.25">
      <c r="J26" s="3"/>
      <c r="K26" s="7"/>
    </row>
    <row r="27" spans="1:12" x14ac:dyDescent="0.25">
      <c r="J27" s="3"/>
      <c r="K27" s="7"/>
    </row>
    <row r="28" spans="1:12" x14ac:dyDescent="0.25">
      <c r="J28" s="3"/>
      <c r="K28" s="7"/>
    </row>
    <row r="29" spans="1:12" x14ac:dyDescent="0.25">
      <c r="J29" s="3"/>
      <c r="K29" s="7"/>
    </row>
    <row r="30" spans="1:12" x14ac:dyDescent="0.25">
      <c r="J30" s="3"/>
      <c r="K30" s="7"/>
    </row>
    <row r="31" spans="1:12" x14ac:dyDescent="0.25">
      <c r="J31" s="3"/>
      <c r="K31" s="7"/>
    </row>
    <row r="32" spans="1:12" x14ac:dyDescent="0.25">
      <c r="J32" s="3"/>
      <c r="K32" s="7"/>
    </row>
    <row r="33" spans="10:11" x14ac:dyDescent="0.25">
      <c r="J33" s="3"/>
      <c r="K33" s="7"/>
    </row>
    <row r="34" spans="10:11" x14ac:dyDescent="0.25">
      <c r="J34" s="3"/>
      <c r="K34" s="7"/>
    </row>
    <row r="35" spans="10:11" x14ac:dyDescent="0.25">
      <c r="J35" s="10"/>
      <c r="K35" s="11"/>
    </row>
    <row r="36" spans="10:11" x14ac:dyDescent="0.25">
      <c r="J36" s="10"/>
      <c r="K36" s="11"/>
    </row>
    <row r="37" spans="10:11" x14ac:dyDescent="0.25">
      <c r="J37" s="3"/>
      <c r="K37" s="7"/>
    </row>
    <row r="38" spans="10:11" x14ac:dyDescent="0.25">
      <c r="J38" s="3"/>
      <c r="K38" s="7"/>
    </row>
    <row r="39" spans="10:11" x14ac:dyDescent="0.25">
      <c r="J39" s="3"/>
      <c r="K39" s="7"/>
    </row>
    <row r="40" spans="10:11" x14ac:dyDescent="0.25">
      <c r="J40" s="3"/>
      <c r="K40" s="7"/>
    </row>
    <row r="41" spans="10:11" x14ac:dyDescent="0.25">
      <c r="J41" s="3"/>
      <c r="K41" s="7"/>
    </row>
    <row r="42" spans="10:11" x14ac:dyDescent="0.25">
      <c r="J42" s="3"/>
      <c r="K42" s="7"/>
    </row>
    <row r="43" spans="10:11" x14ac:dyDescent="0.25">
      <c r="J43" s="3"/>
      <c r="K43" s="7"/>
    </row>
    <row r="44" spans="10:11" x14ac:dyDescent="0.25">
      <c r="J44" s="3"/>
      <c r="K44" s="7"/>
    </row>
    <row r="45" spans="10:11" x14ac:dyDescent="0.25">
      <c r="J45" s="3"/>
      <c r="K45" s="7"/>
    </row>
    <row r="46" spans="10:11" x14ac:dyDescent="0.25">
      <c r="J46" s="3"/>
      <c r="K46" s="7"/>
    </row>
    <row r="47" spans="10:11" x14ac:dyDescent="0.25">
      <c r="J47" s="3"/>
      <c r="K47" s="7"/>
    </row>
    <row r="48" spans="10:11" x14ac:dyDescent="0.25">
      <c r="J48" s="3"/>
      <c r="K48" s="7"/>
    </row>
    <row r="49" spans="10:11" x14ac:dyDescent="0.25">
      <c r="J49" s="3"/>
      <c r="K49" s="7"/>
    </row>
    <row r="50" spans="10:11" x14ac:dyDescent="0.25">
      <c r="J50" s="3"/>
      <c r="K50" s="7"/>
    </row>
    <row r="51" spans="10:11" x14ac:dyDescent="0.25">
      <c r="J51" s="3"/>
      <c r="K51" s="7"/>
    </row>
    <row r="52" spans="10:11" x14ac:dyDescent="0.25">
      <c r="J52" s="3"/>
      <c r="K52" s="7"/>
    </row>
    <row r="53" spans="10:11" x14ac:dyDescent="0.25">
      <c r="J53" s="3"/>
      <c r="K53" s="7"/>
    </row>
    <row r="54" spans="10:11" x14ac:dyDescent="0.25">
      <c r="J54" s="3"/>
      <c r="K54" s="7"/>
    </row>
    <row r="55" spans="10:11" x14ac:dyDescent="0.25">
      <c r="J55" s="3"/>
      <c r="K55" s="7"/>
    </row>
    <row r="56" spans="10:11" x14ac:dyDescent="0.25">
      <c r="J56" s="3"/>
      <c r="K56" s="7"/>
    </row>
    <row r="57" spans="10:11" x14ac:dyDescent="0.25">
      <c r="J57" s="3"/>
      <c r="K57" s="7"/>
    </row>
    <row r="58" spans="10:11" x14ac:dyDescent="0.25">
      <c r="J58" s="3"/>
      <c r="K58" s="7"/>
    </row>
    <row r="59" spans="10:11" x14ac:dyDescent="0.25">
      <c r="J59" s="3"/>
      <c r="K59" s="7"/>
    </row>
    <row r="60" spans="10:11" x14ac:dyDescent="0.25">
      <c r="J60" s="3"/>
      <c r="K60" s="7"/>
    </row>
    <row r="61" spans="10:11" x14ac:dyDescent="0.25">
      <c r="J61" s="3"/>
      <c r="K61" s="7"/>
    </row>
    <row r="62" spans="10:11" x14ac:dyDescent="0.25">
      <c r="J62" s="3"/>
      <c r="K62" s="7"/>
    </row>
    <row r="63" spans="10:11" x14ac:dyDescent="0.25">
      <c r="J63" s="3"/>
      <c r="K63" s="7"/>
    </row>
    <row r="64" spans="10:11" x14ac:dyDescent="0.25">
      <c r="J64" s="3"/>
      <c r="K64" s="7"/>
    </row>
    <row r="65" spans="10:11" x14ac:dyDescent="0.25">
      <c r="J65" s="3"/>
      <c r="K65" s="7"/>
    </row>
    <row r="66" spans="10:11" x14ac:dyDescent="0.25">
      <c r="J66" s="3"/>
      <c r="K66" s="7"/>
    </row>
    <row r="67" spans="10:11" x14ac:dyDescent="0.25">
      <c r="J67" s="3"/>
      <c r="K67" s="7"/>
    </row>
    <row r="68" spans="10:11" x14ac:dyDescent="0.25">
      <c r="J68" s="3"/>
      <c r="K68" s="7"/>
    </row>
    <row r="69" spans="10:11" x14ac:dyDescent="0.25">
      <c r="J69" s="3"/>
      <c r="K69" s="7"/>
    </row>
    <row r="70" spans="10:11" x14ac:dyDescent="0.25">
      <c r="J70" s="3"/>
      <c r="K70" s="7"/>
    </row>
    <row r="71" spans="10:11" x14ac:dyDescent="0.25">
      <c r="J71" s="3"/>
      <c r="K71" s="7"/>
    </row>
    <row r="72" spans="10:11" x14ac:dyDescent="0.25">
      <c r="J72" s="3"/>
      <c r="K72" s="7"/>
    </row>
    <row r="73" spans="10:11" x14ac:dyDescent="0.25">
      <c r="J73" s="3"/>
      <c r="K73" s="7"/>
    </row>
    <row r="74" spans="10:11" x14ac:dyDescent="0.25">
      <c r="J74" s="3"/>
      <c r="K74" s="7"/>
    </row>
    <row r="75" spans="10:11" x14ac:dyDescent="0.25">
      <c r="J75" s="3"/>
      <c r="K75" s="7"/>
    </row>
    <row r="76" spans="10:11" x14ac:dyDescent="0.25">
      <c r="J76" s="3"/>
      <c r="K76" s="7"/>
    </row>
    <row r="77" spans="10:11" x14ac:dyDescent="0.25">
      <c r="J77" s="3"/>
      <c r="K77" s="7"/>
    </row>
    <row r="78" spans="10:11" x14ac:dyDescent="0.25">
      <c r="J78" s="3"/>
      <c r="K78" s="7"/>
    </row>
    <row r="79" spans="10:11" x14ac:dyDescent="0.25">
      <c r="J79" s="3"/>
      <c r="K79" s="7"/>
    </row>
    <row r="80" spans="10:11" x14ac:dyDescent="0.25">
      <c r="J80" s="3"/>
      <c r="K80" s="7"/>
    </row>
    <row r="81" spans="10:11" x14ac:dyDescent="0.25">
      <c r="J81" s="3"/>
      <c r="K81" s="7"/>
    </row>
    <row r="82" spans="10:11" x14ac:dyDescent="0.25">
      <c r="J82" s="3"/>
      <c r="K82" s="7"/>
    </row>
    <row r="83" spans="10:11" x14ac:dyDescent="0.25">
      <c r="J83" s="3"/>
      <c r="K83" s="7"/>
    </row>
    <row r="84" spans="10:11" x14ac:dyDescent="0.25">
      <c r="J84" s="3"/>
      <c r="K84" s="7"/>
    </row>
    <row r="85" spans="10:11" x14ac:dyDescent="0.25">
      <c r="J85" s="3"/>
      <c r="K85" s="7"/>
    </row>
    <row r="86" spans="10:11" x14ac:dyDescent="0.25">
      <c r="J86" s="3"/>
      <c r="K86" s="7"/>
    </row>
    <row r="87" spans="10:11" x14ac:dyDescent="0.25">
      <c r="J87" s="3"/>
      <c r="K87" s="7"/>
    </row>
    <row r="88" spans="10:11" x14ac:dyDescent="0.25">
      <c r="J88" s="3"/>
      <c r="K88" s="7"/>
    </row>
    <row r="89" spans="10:11" x14ac:dyDescent="0.25">
      <c r="J89" s="3"/>
      <c r="K89" s="7"/>
    </row>
    <row r="90" spans="10:11" x14ac:dyDescent="0.25">
      <c r="J90" s="3"/>
      <c r="K90" s="7"/>
    </row>
    <row r="91" spans="10:11" x14ac:dyDescent="0.25">
      <c r="J91" s="3"/>
      <c r="K91" s="7"/>
    </row>
    <row r="92" spans="10:11" x14ac:dyDescent="0.25">
      <c r="J92" s="3"/>
      <c r="K92" s="7"/>
    </row>
    <row r="93" spans="10:11" x14ac:dyDescent="0.25">
      <c r="J93" s="3"/>
      <c r="K93" s="7"/>
    </row>
    <row r="94" spans="10:11" x14ac:dyDescent="0.25">
      <c r="J94" s="3"/>
      <c r="K94" s="7"/>
    </row>
    <row r="95" spans="10:11" x14ac:dyDescent="0.25">
      <c r="J95" s="3"/>
      <c r="K95" s="7"/>
    </row>
    <row r="96" spans="10:11" x14ac:dyDescent="0.25">
      <c r="J96" s="3"/>
      <c r="K96" s="7"/>
    </row>
    <row r="97" spans="10:11" x14ac:dyDescent="0.25">
      <c r="J97" s="3"/>
      <c r="K97" s="7"/>
    </row>
    <row r="98" spans="10:11" x14ac:dyDescent="0.25">
      <c r="J98" s="3"/>
      <c r="K98" s="7"/>
    </row>
    <row r="99" spans="10:11" x14ac:dyDescent="0.25">
      <c r="J99" s="3"/>
      <c r="K99" s="7"/>
    </row>
  </sheetData>
  <dataValidations count="1">
    <dataValidation type="list" allowBlank="1" showInputMessage="1" showErrorMessage="1" sqref="B2" xr:uid="{61CD59E3-E36B-4D0A-960C-618B0E8CF20C}">
      <formula1>$K$2:$K$99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3EFF-7CF8-4795-BFDB-7B1E67F9849E}">
  <dimension ref="A1:K84"/>
  <sheetViews>
    <sheetView workbookViewId="0">
      <selection activeCell="D29" sqref="D29"/>
    </sheetView>
  </sheetViews>
  <sheetFormatPr defaultRowHeight="15.75" x14ac:dyDescent="0.25"/>
  <cols>
    <col min="1" max="1" width="23.5" customWidth="1"/>
    <col min="2" max="2" width="15.75" customWidth="1"/>
    <col min="3" max="3" width="15.375" customWidth="1"/>
    <col min="4" max="4" width="14.875" customWidth="1"/>
    <col min="5" max="5" width="10.5" customWidth="1"/>
    <col min="8" max="8" width="9.375" bestFit="1" customWidth="1"/>
    <col min="9" max="9" width="13" customWidth="1"/>
    <col min="10" max="10" width="13.125" customWidth="1"/>
  </cols>
  <sheetData>
    <row r="1" spans="1:11" x14ac:dyDescent="0.25">
      <c r="A1" s="15" t="s">
        <v>9</v>
      </c>
    </row>
    <row r="2" spans="1:11" x14ac:dyDescent="0.25">
      <c r="A2" s="15"/>
    </row>
    <row r="3" spans="1:11" x14ac:dyDescent="0.25">
      <c r="A3" s="29" t="s">
        <v>33</v>
      </c>
    </row>
    <row r="4" spans="1:11" x14ac:dyDescent="0.25">
      <c r="A4" s="15" t="s">
        <v>10</v>
      </c>
    </row>
    <row r="5" spans="1:11" x14ac:dyDescent="0.25">
      <c r="A5" t="s">
        <v>11</v>
      </c>
      <c r="B5" s="16" t="s">
        <v>12</v>
      </c>
    </row>
    <row r="6" spans="1:11" x14ac:dyDescent="0.25">
      <c r="B6" s="16"/>
    </row>
    <row r="7" spans="1:11" x14ac:dyDescent="0.25">
      <c r="B7" s="17" t="s">
        <v>14</v>
      </c>
      <c r="C7" s="17" t="s">
        <v>15</v>
      </c>
      <c r="D7" s="17" t="s">
        <v>19</v>
      </c>
    </row>
    <row r="8" spans="1:11" x14ac:dyDescent="0.25">
      <c r="A8" t="s">
        <v>16</v>
      </c>
      <c r="B8" s="3">
        <v>34144000</v>
      </c>
      <c r="C8" s="3">
        <v>6885000</v>
      </c>
      <c r="D8" s="4">
        <f>SUM(B8:C8)</f>
        <v>41029000</v>
      </c>
    </row>
    <row r="9" spans="1:11" x14ac:dyDescent="0.25">
      <c r="A9" t="s">
        <v>17</v>
      </c>
      <c r="B9" s="4">
        <f>42*B8</f>
        <v>1434048000</v>
      </c>
      <c r="C9" s="4">
        <f t="shared" ref="C9:D9" si="0">42*C8</f>
        <v>289170000</v>
      </c>
      <c r="D9" s="4">
        <f t="shared" si="0"/>
        <v>1723218000</v>
      </c>
      <c r="H9" s="17" t="s">
        <v>14</v>
      </c>
      <c r="I9" s="17" t="s">
        <v>15</v>
      </c>
    </row>
    <row r="10" spans="1:11" x14ac:dyDescent="0.25">
      <c r="A10" t="s">
        <v>20</v>
      </c>
      <c r="B10" s="19">
        <f>H12</f>
        <v>17.423909999999999</v>
      </c>
      <c r="C10" s="19">
        <f>I11</f>
        <v>22.51305</v>
      </c>
      <c r="F10" t="s">
        <v>21</v>
      </c>
      <c r="H10">
        <v>8.7799999999999996E-3</v>
      </c>
      <c r="I10">
        <v>1.021E-2</v>
      </c>
      <c r="J10" t="s">
        <v>22</v>
      </c>
    </row>
    <row r="11" spans="1:11" x14ac:dyDescent="0.25">
      <c r="A11" t="s">
        <v>18</v>
      </c>
      <c r="B11" s="4">
        <f>B9*B10</f>
        <v>24986723287.68</v>
      </c>
      <c r="C11" s="4">
        <f>C9*C10</f>
        <v>6510098668.5</v>
      </c>
      <c r="D11" s="4">
        <f>B11+C11</f>
        <v>31496821956.18</v>
      </c>
      <c r="F11" t="s">
        <v>70</v>
      </c>
      <c r="H11" s="18">
        <f>H10*2205</f>
        <v>19.3599</v>
      </c>
      <c r="I11" s="19">
        <f>I10*2205</f>
        <v>22.51305</v>
      </c>
      <c r="J11" t="s">
        <v>23</v>
      </c>
    </row>
    <row r="12" spans="1:11" x14ac:dyDescent="0.25">
      <c r="A12" t="s">
        <v>25</v>
      </c>
      <c r="B12" s="14">
        <f>B11/D11</f>
        <v>0.79330934792223851</v>
      </c>
      <c r="C12" s="14">
        <f>C11/D11</f>
        <v>0.20669065207776149</v>
      </c>
      <c r="D12" s="30">
        <f>D11/D9</f>
        <v>18.277909095761533</v>
      </c>
      <c r="G12" t="s">
        <v>24</v>
      </c>
      <c r="H12" s="19">
        <f>0.9*H11</f>
        <v>17.423909999999999</v>
      </c>
    </row>
    <row r="14" spans="1:11" x14ac:dyDescent="0.25">
      <c r="A14" t="s">
        <v>26</v>
      </c>
      <c r="B14" s="4">
        <f>B11/2205</f>
        <v>11331847.296</v>
      </c>
      <c r="C14" s="4">
        <f>C11/2205</f>
        <v>2952425.7</v>
      </c>
      <c r="D14" s="21">
        <f>B14+C14</f>
        <v>14284272.995999999</v>
      </c>
    </row>
    <row r="15" spans="1:11" x14ac:dyDescent="0.25">
      <c r="B15" s="4"/>
      <c r="C15" s="4"/>
      <c r="D15" s="27"/>
      <c r="I15" s="17" t="s">
        <v>87</v>
      </c>
      <c r="J15" s="17" t="s">
        <v>88</v>
      </c>
      <c r="K15" s="17" t="s">
        <v>89</v>
      </c>
    </row>
    <row r="16" spans="1:11" x14ac:dyDescent="0.25">
      <c r="B16" s="4"/>
      <c r="C16" s="4"/>
      <c r="D16" s="27"/>
      <c r="H16">
        <v>2023</v>
      </c>
      <c r="I16" s="56">
        <v>12</v>
      </c>
      <c r="J16" s="56">
        <v>6.5</v>
      </c>
      <c r="K16" s="56">
        <f>(I16+J16)/2</f>
        <v>9.25</v>
      </c>
    </row>
    <row r="17" spans="1:11" x14ac:dyDescent="0.25">
      <c r="B17" s="17" t="s">
        <v>14</v>
      </c>
      <c r="C17" s="17" t="s">
        <v>15</v>
      </c>
      <c r="D17" s="17" t="s">
        <v>19</v>
      </c>
      <c r="H17">
        <v>2024</v>
      </c>
      <c r="I17" s="56">
        <v>13.43</v>
      </c>
      <c r="J17" s="56">
        <v>6.98</v>
      </c>
      <c r="K17" s="56">
        <f t="shared" ref="K17:K25" si="1">(I17+J17)/2</f>
        <v>10.205</v>
      </c>
    </row>
    <row r="18" spans="1:11" x14ac:dyDescent="0.25">
      <c r="A18" t="s">
        <v>37</v>
      </c>
      <c r="B18" s="3">
        <v>63066000</v>
      </c>
      <c r="C18" s="3">
        <v>11135000</v>
      </c>
      <c r="D18" s="4">
        <f>SUM(B18:C18)</f>
        <v>74201000</v>
      </c>
      <c r="H18">
        <v>2025</v>
      </c>
      <c r="I18" s="56">
        <v>15.02</v>
      </c>
      <c r="J18" s="56">
        <v>7.51</v>
      </c>
      <c r="K18" s="56">
        <f t="shared" si="1"/>
        <v>11.265000000000001</v>
      </c>
    </row>
    <row r="19" spans="1:11" x14ac:dyDescent="0.25">
      <c r="A19" t="s">
        <v>38</v>
      </c>
      <c r="B19" s="4">
        <f>42*B18</f>
        <v>2648772000</v>
      </c>
      <c r="C19" s="4">
        <f t="shared" ref="C19" si="2">42*C18</f>
        <v>467670000</v>
      </c>
      <c r="D19" s="4">
        <f t="shared" ref="D19" si="3">42*D18</f>
        <v>3116442000</v>
      </c>
      <c r="H19">
        <v>2026</v>
      </c>
      <c r="I19" s="56">
        <v>16.809999999999999</v>
      </c>
      <c r="J19" s="56">
        <v>8.07</v>
      </c>
      <c r="K19" s="56">
        <f t="shared" si="1"/>
        <v>12.44</v>
      </c>
    </row>
    <row r="20" spans="1:11" x14ac:dyDescent="0.25">
      <c r="A20" t="s">
        <v>20</v>
      </c>
      <c r="B20" s="19">
        <f>H12</f>
        <v>17.423909999999999</v>
      </c>
      <c r="C20" s="19">
        <f>I11</f>
        <v>22.51305</v>
      </c>
      <c r="H20">
        <v>2027</v>
      </c>
      <c r="I20" s="56">
        <v>18.8</v>
      </c>
      <c r="J20" s="56">
        <v>8.66</v>
      </c>
      <c r="K20" s="56">
        <f t="shared" si="1"/>
        <v>13.73</v>
      </c>
    </row>
    <row r="21" spans="1:11" x14ac:dyDescent="0.25">
      <c r="A21" t="s">
        <v>18</v>
      </c>
      <c r="B21" s="4">
        <f>B19*B20</f>
        <v>46151964938.519997</v>
      </c>
      <c r="C21" s="4">
        <f>C19*C20</f>
        <v>10528678093.5</v>
      </c>
      <c r="D21" s="4">
        <f>B21+C21</f>
        <v>56680643032.019997</v>
      </c>
      <c r="H21">
        <v>2028</v>
      </c>
      <c r="I21" s="56">
        <v>21.04</v>
      </c>
      <c r="J21" s="56">
        <v>9.2899999999999991</v>
      </c>
      <c r="K21" s="56">
        <f t="shared" si="1"/>
        <v>15.164999999999999</v>
      </c>
    </row>
    <row r="22" spans="1:11" x14ac:dyDescent="0.25">
      <c r="A22" t="s">
        <v>25</v>
      </c>
      <c r="D22" s="30">
        <f>D21/D19</f>
        <v>18.187613641460356</v>
      </c>
      <c r="H22">
        <v>2029</v>
      </c>
      <c r="I22" s="56">
        <v>23.54</v>
      </c>
      <c r="J22" s="56">
        <v>9.9700000000000006</v>
      </c>
      <c r="K22" s="56">
        <f t="shared" si="1"/>
        <v>16.754999999999999</v>
      </c>
    </row>
    <row r="23" spans="1:11" x14ac:dyDescent="0.25">
      <c r="H23">
        <v>2030</v>
      </c>
      <c r="I23" s="56">
        <v>26.34</v>
      </c>
      <c r="J23" s="56">
        <v>10.68</v>
      </c>
      <c r="K23" s="56">
        <f t="shared" si="1"/>
        <v>18.509999999999998</v>
      </c>
    </row>
    <row r="24" spans="1:11" x14ac:dyDescent="0.25">
      <c r="A24" t="s">
        <v>26</v>
      </c>
      <c r="B24" s="4">
        <f>B21/2205</f>
        <v>20930596.343999997</v>
      </c>
      <c r="C24" s="4">
        <f>C21/2205</f>
        <v>4774910.7</v>
      </c>
      <c r="D24" s="28">
        <f>B24+C24</f>
        <v>25705507.043999996</v>
      </c>
      <c r="H24">
        <v>2031</v>
      </c>
      <c r="I24" s="56">
        <v>28.19</v>
      </c>
      <c r="J24" s="56">
        <v>11.47</v>
      </c>
      <c r="K24" s="56">
        <f t="shared" si="1"/>
        <v>19.830000000000002</v>
      </c>
    </row>
    <row r="25" spans="1:11" x14ac:dyDescent="0.25">
      <c r="B25" s="4"/>
      <c r="C25" s="4"/>
      <c r="D25" s="27"/>
      <c r="H25">
        <v>2032</v>
      </c>
      <c r="I25" s="56">
        <v>30.16</v>
      </c>
      <c r="J25" s="56">
        <v>12.3</v>
      </c>
      <c r="K25" s="56">
        <f t="shared" si="1"/>
        <v>21.23</v>
      </c>
    </row>
    <row r="26" spans="1:11" x14ac:dyDescent="0.25">
      <c r="B26" s="4"/>
      <c r="C26" s="4"/>
      <c r="D26" s="27"/>
    </row>
    <row r="27" spans="1:11" x14ac:dyDescent="0.25">
      <c r="B27" s="17" t="s">
        <v>14</v>
      </c>
      <c r="C27" s="17" t="s">
        <v>15</v>
      </c>
      <c r="D27" s="17" t="s">
        <v>19</v>
      </c>
    </row>
    <row r="28" spans="1:11" x14ac:dyDescent="0.25">
      <c r="A28" t="s">
        <v>39</v>
      </c>
      <c r="B28" s="3">
        <v>8765000</v>
      </c>
      <c r="C28" s="3">
        <v>1656000</v>
      </c>
      <c r="D28" s="4">
        <f>SUM(B28:C28)</f>
        <v>10421000</v>
      </c>
    </row>
    <row r="29" spans="1:11" x14ac:dyDescent="0.25">
      <c r="A29" t="s">
        <v>40</v>
      </c>
      <c r="B29" s="4">
        <f>42*B28</f>
        <v>368130000</v>
      </c>
      <c r="C29" s="4">
        <f t="shared" ref="C29" si="4">42*C28</f>
        <v>69552000</v>
      </c>
      <c r="D29" s="4">
        <f t="shared" ref="D29" si="5">42*D28</f>
        <v>437682000</v>
      </c>
    </row>
    <row r="30" spans="1:11" x14ac:dyDescent="0.25">
      <c r="A30" t="s">
        <v>20</v>
      </c>
      <c r="B30" s="19">
        <f>H12</f>
        <v>17.423909999999999</v>
      </c>
      <c r="C30" s="19">
        <f>I11</f>
        <v>22.51305</v>
      </c>
    </row>
    <row r="31" spans="1:11" x14ac:dyDescent="0.25">
      <c r="A31" t="s">
        <v>18</v>
      </c>
      <c r="B31" s="4">
        <f>B29*B30</f>
        <v>6414263988.3000002</v>
      </c>
      <c r="C31" s="4">
        <f>C29*C30</f>
        <v>1565827653.5999999</v>
      </c>
      <c r="D31" s="4">
        <f>B31+C31</f>
        <v>7980091641.8999996</v>
      </c>
    </row>
    <row r="32" spans="1:11" x14ac:dyDescent="0.25">
      <c r="A32" t="s">
        <v>25</v>
      </c>
      <c r="D32" s="30">
        <f>D31/D29</f>
        <v>18.232624695326741</v>
      </c>
    </row>
    <row r="34" spans="1:6" x14ac:dyDescent="0.25">
      <c r="A34" t="s">
        <v>26</v>
      </c>
      <c r="B34" s="4">
        <f>B31/2205</f>
        <v>2908963.2600000002</v>
      </c>
      <c r="C34" s="4">
        <f>C31/2205</f>
        <v>710125.91999999993</v>
      </c>
      <c r="D34" s="21">
        <f>B34+C34</f>
        <v>3619089.18</v>
      </c>
    </row>
    <row r="35" spans="1:6" x14ac:dyDescent="0.25">
      <c r="B35" s="4"/>
      <c r="C35" s="4"/>
      <c r="D35" s="27"/>
    </row>
    <row r="36" spans="1:6" x14ac:dyDescent="0.25">
      <c r="B36" s="4"/>
      <c r="C36" s="4"/>
      <c r="D36" s="27"/>
    </row>
    <row r="37" spans="1:6" x14ac:dyDescent="0.25">
      <c r="B37" s="17" t="s">
        <v>14</v>
      </c>
      <c r="C37" s="17" t="s">
        <v>15</v>
      </c>
      <c r="D37" s="17" t="s">
        <v>19</v>
      </c>
    </row>
    <row r="38" spans="1:6" x14ac:dyDescent="0.25">
      <c r="A38" t="s">
        <v>41</v>
      </c>
      <c r="B38" s="3">
        <v>2723000</v>
      </c>
      <c r="C38" s="3">
        <v>383000</v>
      </c>
      <c r="D38" s="4">
        <f>SUM(B38:C38)</f>
        <v>3106000</v>
      </c>
    </row>
    <row r="39" spans="1:6" x14ac:dyDescent="0.25">
      <c r="A39" t="s">
        <v>42</v>
      </c>
      <c r="B39" s="4">
        <f>42*B38</f>
        <v>114366000</v>
      </c>
      <c r="C39" s="4">
        <f t="shared" ref="C39" si="6">42*C38</f>
        <v>16086000</v>
      </c>
      <c r="D39" s="4">
        <f t="shared" ref="D39" si="7">42*D38</f>
        <v>130452000</v>
      </c>
    </row>
    <row r="40" spans="1:6" x14ac:dyDescent="0.25">
      <c r="A40" t="s">
        <v>20</v>
      </c>
      <c r="B40" s="19">
        <f>H12</f>
        <v>17.423909999999999</v>
      </c>
      <c r="C40" s="19">
        <f>I11</f>
        <v>22.51305</v>
      </c>
    </row>
    <row r="41" spans="1:6" x14ac:dyDescent="0.25">
      <c r="A41" t="s">
        <v>18</v>
      </c>
      <c r="B41" s="4">
        <f>B39*B40</f>
        <v>1992702891.0599999</v>
      </c>
      <c r="C41" s="4">
        <f>C39*C40</f>
        <v>362144922.30000001</v>
      </c>
      <c r="D41" s="4">
        <f>B41+C41</f>
        <v>2354847813.3600001</v>
      </c>
    </row>
    <row r="42" spans="1:6" x14ac:dyDescent="0.25">
      <c r="A42" t="s">
        <v>25</v>
      </c>
      <c r="D42" s="30">
        <f>D41/D39</f>
        <v>18.051450444301352</v>
      </c>
      <c r="F42" t="s">
        <v>68</v>
      </c>
    </row>
    <row r="43" spans="1:6" x14ac:dyDescent="0.25">
      <c r="F43" s="38">
        <f>(D11+D21+D31+D41)/(D9+D19+D29+D39)</f>
        <v>18.216745024581186</v>
      </c>
    </row>
    <row r="44" spans="1:6" x14ac:dyDescent="0.25">
      <c r="A44" t="s">
        <v>26</v>
      </c>
      <c r="B44" s="4">
        <f>B41/2205</f>
        <v>903720.13199999998</v>
      </c>
      <c r="C44" s="4">
        <f>C41/2205</f>
        <v>164238.06</v>
      </c>
      <c r="D44" s="21">
        <f>B44+C44</f>
        <v>1067958.192</v>
      </c>
    </row>
    <row r="45" spans="1:6" x14ac:dyDescent="0.25">
      <c r="B45" s="4"/>
      <c r="C45" s="4"/>
      <c r="D45" s="27"/>
    </row>
    <row r="47" spans="1:6" x14ac:dyDescent="0.25">
      <c r="A47" s="15" t="s">
        <v>64</v>
      </c>
    </row>
    <row r="48" spans="1:6" x14ac:dyDescent="0.25">
      <c r="A48" t="s">
        <v>28</v>
      </c>
      <c r="B48" s="16" t="s">
        <v>29</v>
      </c>
    </row>
    <row r="49" spans="1:8" x14ac:dyDescent="0.25">
      <c r="B49" s="22" t="s">
        <v>14</v>
      </c>
      <c r="C49" s="22" t="s">
        <v>15</v>
      </c>
      <c r="D49" s="22" t="s">
        <v>19</v>
      </c>
      <c r="E49" s="22" t="s">
        <v>31</v>
      </c>
      <c r="F49" s="23" t="s">
        <v>30</v>
      </c>
    </row>
    <row r="50" spans="1:8" x14ac:dyDescent="0.25">
      <c r="A50" s="22">
        <v>2023</v>
      </c>
      <c r="B50" s="24">
        <v>0.68600000000000005</v>
      </c>
      <c r="C50" s="22">
        <v>0.154</v>
      </c>
      <c r="D50" s="24">
        <f>B50+C50</f>
        <v>0.84000000000000008</v>
      </c>
      <c r="E50" s="17" t="s">
        <v>19</v>
      </c>
      <c r="F50" t="s">
        <v>81</v>
      </c>
      <c r="G50" t="s">
        <v>15</v>
      </c>
    </row>
    <row r="51" spans="1:8" x14ac:dyDescent="0.25">
      <c r="A51" s="22">
        <v>2024</v>
      </c>
      <c r="B51" s="24">
        <v>0.68300000000000005</v>
      </c>
      <c r="C51" s="22">
        <v>0.156</v>
      </c>
      <c r="D51" s="24">
        <f t="shared" ref="D51:D59" si="8">B51+C51</f>
        <v>0.83900000000000008</v>
      </c>
      <c r="E51" s="14">
        <f>D51/D50</f>
        <v>0.99880952380952381</v>
      </c>
      <c r="F51" s="14">
        <f>B51/B50</f>
        <v>0.99562682215743437</v>
      </c>
      <c r="G51" s="14">
        <f>C51/C50</f>
        <v>1.0129870129870131</v>
      </c>
    </row>
    <row r="52" spans="1:8" x14ac:dyDescent="0.25">
      <c r="A52" s="22">
        <v>2025</v>
      </c>
      <c r="B52" s="24">
        <v>0.67800000000000005</v>
      </c>
      <c r="C52" s="22">
        <v>0.157</v>
      </c>
      <c r="D52" s="24">
        <f t="shared" si="8"/>
        <v>0.83500000000000008</v>
      </c>
      <c r="E52" s="14">
        <f t="shared" ref="E52:E59" si="9">D52/D51</f>
        <v>0.99523241954707986</v>
      </c>
      <c r="F52" s="14">
        <f t="shared" ref="F52:F59" si="10">B52/B51</f>
        <v>0.9926793557833089</v>
      </c>
      <c r="G52" s="14">
        <f t="shared" ref="G52:G59" si="11">C52/C51</f>
        <v>1.0064102564102564</v>
      </c>
    </row>
    <row r="53" spans="1:8" x14ac:dyDescent="0.25">
      <c r="A53" s="22">
        <v>2026</v>
      </c>
      <c r="B53" s="24">
        <v>0.67300000000000004</v>
      </c>
      <c r="C53" s="22">
        <v>0.157</v>
      </c>
      <c r="D53" s="24">
        <f t="shared" si="8"/>
        <v>0.83000000000000007</v>
      </c>
      <c r="E53" s="14">
        <f t="shared" si="9"/>
        <v>0.99401197604790414</v>
      </c>
      <c r="F53" s="14">
        <f t="shared" si="10"/>
        <v>0.99262536873156337</v>
      </c>
      <c r="G53" s="14">
        <f t="shared" si="11"/>
        <v>1</v>
      </c>
    </row>
    <row r="54" spans="1:8" x14ac:dyDescent="0.25">
      <c r="A54" s="22">
        <v>2027</v>
      </c>
      <c r="B54" s="24">
        <v>0.66700000000000004</v>
      </c>
      <c r="C54" s="22">
        <v>0.156</v>
      </c>
      <c r="D54" s="24">
        <f t="shared" si="8"/>
        <v>0.82300000000000006</v>
      </c>
      <c r="E54" s="14">
        <f t="shared" si="9"/>
        <v>0.99156626506024093</v>
      </c>
      <c r="F54" s="14">
        <f t="shared" si="10"/>
        <v>0.99108469539375932</v>
      </c>
      <c r="G54" s="14">
        <f t="shared" si="11"/>
        <v>0.99363057324840764</v>
      </c>
    </row>
    <row r="55" spans="1:8" x14ac:dyDescent="0.25">
      <c r="A55" s="22">
        <v>2028</v>
      </c>
      <c r="B55" s="24">
        <v>0.66</v>
      </c>
      <c r="C55" s="22">
        <v>0.156</v>
      </c>
      <c r="D55" s="24">
        <f t="shared" si="8"/>
        <v>0.81600000000000006</v>
      </c>
      <c r="E55" s="14">
        <f t="shared" si="9"/>
        <v>0.99149453219927097</v>
      </c>
      <c r="F55" s="14">
        <f t="shared" si="10"/>
        <v>0.98950524737631185</v>
      </c>
      <c r="G55" s="14">
        <f t="shared" si="11"/>
        <v>1</v>
      </c>
    </row>
    <row r="56" spans="1:8" x14ac:dyDescent="0.25">
      <c r="A56" s="22">
        <v>2029</v>
      </c>
      <c r="B56" s="24">
        <v>0.65400000000000003</v>
      </c>
      <c r="C56" s="22">
        <v>0.155</v>
      </c>
      <c r="D56" s="24">
        <f t="shared" si="8"/>
        <v>0.80900000000000005</v>
      </c>
      <c r="E56" s="14">
        <f t="shared" si="9"/>
        <v>0.99142156862745101</v>
      </c>
      <c r="F56" s="14">
        <f t="shared" si="10"/>
        <v>0.99090909090909085</v>
      </c>
      <c r="G56" s="14">
        <f t="shared" si="11"/>
        <v>0.99358974358974361</v>
      </c>
    </row>
    <row r="57" spans="1:8" x14ac:dyDescent="0.25">
      <c r="A57" s="22">
        <v>2030</v>
      </c>
      <c r="B57" s="24">
        <v>0.64700000000000002</v>
      </c>
      <c r="C57" s="22">
        <v>0.153</v>
      </c>
      <c r="D57" s="24">
        <f t="shared" si="8"/>
        <v>0.8</v>
      </c>
      <c r="E57" s="14">
        <f t="shared" si="9"/>
        <v>0.9888751545117429</v>
      </c>
      <c r="F57" s="14">
        <f t="shared" si="10"/>
        <v>0.9892966360856269</v>
      </c>
      <c r="G57" s="14">
        <f t="shared" si="11"/>
        <v>0.98709677419354835</v>
      </c>
    </row>
    <row r="58" spans="1:8" x14ac:dyDescent="0.25">
      <c r="A58" s="22">
        <v>2031</v>
      </c>
      <c r="B58" s="24">
        <v>0.64200000000000002</v>
      </c>
      <c r="C58" s="22">
        <v>0.152</v>
      </c>
      <c r="D58" s="24">
        <f t="shared" si="8"/>
        <v>0.79400000000000004</v>
      </c>
      <c r="E58" s="14">
        <f t="shared" si="9"/>
        <v>0.99250000000000005</v>
      </c>
      <c r="F58" s="14">
        <f t="shared" si="10"/>
        <v>0.99227202472952081</v>
      </c>
      <c r="G58" s="14">
        <f t="shared" si="11"/>
        <v>0.99346405228758172</v>
      </c>
    </row>
    <row r="59" spans="1:8" x14ac:dyDescent="0.25">
      <c r="A59" s="22">
        <v>2032</v>
      </c>
      <c r="B59" s="24">
        <v>0.63600000000000001</v>
      </c>
      <c r="C59" s="22">
        <v>0.151</v>
      </c>
      <c r="D59" s="24">
        <f t="shared" si="8"/>
        <v>0.78700000000000003</v>
      </c>
      <c r="E59" s="14">
        <f t="shared" si="9"/>
        <v>0.99118387909319894</v>
      </c>
      <c r="F59" s="14">
        <f t="shared" si="10"/>
        <v>0.99065420560747663</v>
      </c>
      <c r="G59" s="14">
        <f t="shared" si="11"/>
        <v>0.99342105263157898</v>
      </c>
    </row>
    <row r="60" spans="1:8" x14ac:dyDescent="0.25">
      <c r="E60" s="26">
        <f>D59/D50</f>
        <v>0.93690476190476191</v>
      </c>
      <c r="F60" s="26">
        <f>B59/B50</f>
        <v>0.92711370262390669</v>
      </c>
      <c r="G60" s="26">
        <f>C59/C50</f>
        <v>0.98051948051948046</v>
      </c>
      <c r="H60" t="s">
        <v>32</v>
      </c>
    </row>
    <row r="61" spans="1:8" x14ac:dyDescent="0.25">
      <c r="E61" s="25">
        <f>1-E60</f>
        <v>6.3095238095238093E-2</v>
      </c>
      <c r="F61" s="25">
        <f>1-F60</f>
        <v>7.2886297376093312E-2</v>
      </c>
      <c r="G61" s="25">
        <f>1-G60</f>
        <v>1.9480519480519543E-2</v>
      </c>
    </row>
    <row r="62" spans="1:8" x14ac:dyDescent="0.25">
      <c r="A62" t="s">
        <v>47</v>
      </c>
      <c r="E62" s="25"/>
    </row>
    <row r="63" spans="1:8" x14ac:dyDescent="0.25">
      <c r="E63" s="25"/>
    </row>
    <row r="64" spans="1:8" x14ac:dyDescent="0.25">
      <c r="A64" s="29" t="s">
        <v>34</v>
      </c>
    </row>
    <row r="65" spans="1:2" x14ac:dyDescent="0.25">
      <c r="A65" t="s">
        <v>27</v>
      </c>
      <c r="B65" t="s">
        <v>35</v>
      </c>
    </row>
    <row r="67" spans="1:2" x14ac:dyDescent="0.25">
      <c r="A67" s="29" t="s">
        <v>36</v>
      </c>
    </row>
    <row r="68" spans="1:2" x14ac:dyDescent="0.25">
      <c r="A68" t="s">
        <v>27</v>
      </c>
      <c r="B68" t="s">
        <v>35</v>
      </c>
    </row>
    <row r="69" spans="1:2" x14ac:dyDescent="0.25">
      <c r="B69" t="s">
        <v>45</v>
      </c>
    </row>
    <row r="71" spans="1:2" x14ac:dyDescent="0.25">
      <c r="A71" s="29" t="s">
        <v>43</v>
      </c>
    </row>
    <row r="72" spans="1:2" x14ac:dyDescent="0.25">
      <c r="A72" t="s">
        <v>44</v>
      </c>
    </row>
    <row r="74" spans="1:2" x14ac:dyDescent="0.25">
      <c r="A74" s="29" t="s">
        <v>46</v>
      </c>
    </row>
    <row r="75" spans="1:2" x14ac:dyDescent="0.25">
      <c r="A75" t="s">
        <v>65</v>
      </c>
    </row>
    <row r="77" spans="1:2" x14ac:dyDescent="0.25">
      <c r="A77" s="29" t="s">
        <v>48</v>
      </c>
    </row>
    <row r="78" spans="1:2" x14ac:dyDescent="0.25">
      <c r="A78" t="s">
        <v>66</v>
      </c>
    </row>
    <row r="80" spans="1:2" x14ac:dyDescent="0.25">
      <c r="A80" s="29" t="s">
        <v>49</v>
      </c>
    </row>
    <row r="81" spans="1:1" x14ac:dyDescent="0.25">
      <c r="A81" t="s">
        <v>50</v>
      </c>
    </row>
    <row r="82" spans="1:1" x14ac:dyDescent="0.25">
      <c r="A82" t="s">
        <v>53</v>
      </c>
    </row>
    <row r="83" spans="1:1" x14ac:dyDescent="0.25">
      <c r="A83" s="32" t="s">
        <v>51</v>
      </c>
    </row>
    <row r="84" spans="1:1" x14ac:dyDescent="0.25">
      <c r="A84" s="31" t="s">
        <v>52</v>
      </c>
    </row>
  </sheetData>
  <hyperlinks>
    <hyperlink ref="B5" r:id="rId1" location="Petroleum" xr:uid="{BBD6F574-3C7A-420C-A981-4D265956C823}"/>
    <hyperlink ref="B48" r:id="rId2" location="/?id=2-AEO2021&amp;region=1-1&amp;cases=ref2021&amp;start=2019&amp;end=2050&amp;f=A&amp;linechart=&amp;map=ref2021-d113020a.4-2-AEO2021.1-1&amp;ctype=linechart&amp;sourcekey=0" xr:uid="{BC8E1354-A92A-464B-B40D-D59F0AC5F8C2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Regional Total</vt:lpstr>
      <vt:lpstr>Connecticut</vt:lpstr>
      <vt:lpstr>Massachusetts</vt:lpstr>
      <vt:lpstr>Rhode Island</vt:lpstr>
      <vt:lpstr>DC</vt:lpstr>
      <vt:lpstr>Backup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A. Herb</cp:lastModifiedBy>
  <cp:lastPrinted>2021-04-16T15:45:28Z</cp:lastPrinted>
  <dcterms:created xsi:type="dcterms:W3CDTF">2021-04-08T00:15:58Z</dcterms:created>
  <dcterms:modified xsi:type="dcterms:W3CDTF">2021-05-18T16:37:14Z</dcterms:modified>
</cp:coreProperties>
</file>