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arsico_ntma\Desktop\"/>
    </mc:Choice>
  </mc:AlternateContent>
  <workbookProtection workbookPassword="CF42" lockStructure="1"/>
  <bookViews>
    <workbookView xWindow="0" yWindow="0" windowWidth="38400" windowHeight="17730"/>
  </bookViews>
  <sheets>
    <sheet name="NTMA Exec Comp" sheetId="1" r:id="rId1"/>
    <sheet name="Confidentiality" sheetId="12" r:id="rId2"/>
    <sheet name="Data" sheetId="18" state="hidden" r:id="rId3"/>
  </sheets>
  <externalReferences>
    <externalReference r:id="rId4"/>
  </externalReferences>
  <definedNames>
    <definedName name="AAR">Data!$C$46</definedName>
    <definedName name="Accdpr">Data!$C$57</definedName>
    <definedName name="AD">Data!$C$99</definedName>
    <definedName name="Add">Data!$C$49</definedName>
    <definedName name="Addr1">'NTMA Exec Comp'!$P$16</definedName>
    <definedName name="Addr2">'NTMA Exec Comp'!$P$17</definedName>
    <definedName name="ADM_B">'NTMA Exec Comp'!$R$50</definedName>
    <definedName name="Admin">Data!$C$94</definedName>
    <definedName name="ADMS">'NTMA Exec Comp'!$P$50</definedName>
    <definedName name="ADMT">'NTMA Exec Comp'!$T$50</definedName>
    <definedName name="Aero">Data!$C$36</definedName>
    <definedName name="AMF">'NTMA Exec Comp'!$P$28</definedName>
    <definedName name="AP">Data!$C$61</definedName>
    <definedName name="Appl">Data!$C$37</definedName>
    <definedName name="AR">Data!$C$52</definedName>
    <definedName name="Auto">Data!$C$35</definedName>
    <definedName name="AVG">Data!$C$47</definedName>
    <definedName name="BD">Data!$C$102</definedName>
    <definedName name="Binv">Data!$C$70</definedName>
    <definedName name="Burden">Data!$C$79</definedName>
    <definedName name="CA">Data!$C$55</definedName>
    <definedName name="Cash">Data!$C$51</definedName>
    <definedName name="CEO_B">'NTMA Exec Comp'!$R$45</definedName>
    <definedName name="CEOS">'NTMA Exec Comp'!$P$45</definedName>
    <definedName name="CEOT">'NTMA Exec Comp'!$T$45</definedName>
    <definedName name="CFO_B">'NTMA Exec Comp'!$R$49</definedName>
    <definedName name="CFOS">'NTMA Exec Comp'!$P$49</definedName>
    <definedName name="CFOT">'NTMA Exec Comp'!$T$49</definedName>
    <definedName name="Chem">Data!$C$40</definedName>
    <definedName name="City">'NTMA Exec Comp'!$P$18</definedName>
    <definedName name="CL">Data!$C$64</definedName>
    <definedName name="COGS">Data!$C$91</definedName>
    <definedName name="CON_B">'NTMA Exec Comp'!$R$58</definedName>
    <definedName name="CONS">'NTMA Exec Comp'!$P$58</definedName>
    <definedName name="CONT">'NTMA Exec Comp'!$T$58</definedName>
    <definedName name="DES_B">'NTMA Exec Comp'!$R$63</definedName>
    <definedName name="DESS">'NTMA Exec Comp'!$P$63</definedName>
    <definedName name="DEST">'NTMA Exec Comp'!$T$63</definedName>
    <definedName name="Diff">Data!$C$90</definedName>
    <definedName name="Dlab">Data!$C$75</definedName>
    <definedName name="DPR">Data!$C$87</definedName>
    <definedName name="Dremp">Data!$C$18</definedName>
    <definedName name="eaddr">'NTMA Exec Comp'!$P$22</definedName>
    <definedName name="Einv">Data!$C$89</definedName>
    <definedName name="Elect">Data!$C$38</definedName>
    <definedName name="Emp">Data!$C$24</definedName>
    <definedName name="End">Data!$C$50</definedName>
    <definedName name="ENG_B">'NTMA Exec Comp'!$R$48</definedName>
    <definedName name="ENGS">'NTMA Exec Comp'!$P$48</definedName>
    <definedName name="ENGT">'NTMA Exec Comp'!$T$48</definedName>
    <definedName name="Eqty">Data!$C$67</definedName>
    <definedName name="Equip">Data!$C$84</definedName>
    <definedName name="EST_B">'NTMA Exec Comp'!$R$67</definedName>
    <definedName name="ESTS">'NTMA Exec Comp'!$P$67</definedName>
    <definedName name="ESTT">'NTMA Exec Comp'!$T$67</definedName>
    <definedName name="Exec">Data!$C$93</definedName>
    <definedName name="Exemp">Data!$C$22</definedName>
    <definedName name="Export">Data!$C$44</definedName>
    <definedName name="Fiscal">Data!$C$15</definedName>
    <definedName name="Fixed">Data!$C$58</definedName>
    <definedName name="FMP">Data!$C$41</definedName>
    <definedName name="Food">Data!$C$42</definedName>
    <definedName name="FORE_B">'NTMA Exec Comp'!$R$61</definedName>
    <definedName name="FORES">'NTMA Exec Comp'!$P$61</definedName>
    <definedName name="FORET">'NTMA Exec Comp'!$T$61</definedName>
    <definedName name="Gabur">Data!$C$96</definedName>
    <definedName name="Gawel">Data!$C$97</definedName>
    <definedName name="GFA">Data!$C$56</definedName>
    <definedName name="GM_B">'NTMA Exec Comp'!$R$57</definedName>
    <definedName name="GMS">'NTMA Exec Comp'!$P$57</definedName>
    <definedName name="GMT">'NTMA Exec Comp'!$T$57</definedName>
    <definedName name="GovtP">Data!$C$25</definedName>
    <definedName name="GovtS">Data!$C$26</definedName>
    <definedName name="GP">Data!$C$92</definedName>
    <definedName name="GPM">'NTMA Exec Comp'!$P$27</definedName>
    <definedName name="HR_B">'NTMA Exec Comp'!$R$51</definedName>
    <definedName name="HRS">'NTMA Exec Comp'!$P$51</definedName>
    <definedName name="HRT">'NTMA Exec Comp'!$T$51</definedName>
    <definedName name="ID">'NTMA Exec Comp'!$T$12</definedName>
    <definedName name="Ilab">Data!$C$77</definedName>
    <definedName name="Indemp">Data!$C$19</definedName>
    <definedName name="Ins">Data!$C$85</definedName>
    <definedName name="Int">Data!$C$108</definedName>
    <definedName name="Inv">Data!$C$53</definedName>
    <definedName name="Lab">Data!$C$73</definedName>
    <definedName name="Liab">Data!$C$68</definedName>
    <definedName name="LIFO">Data!$C$48</definedName>
    <definedName name="Loan">Data!$C$66</definedName>
    <definedName name="LOB">'NTMA Exec Comp'!$P$24</definedName>
    <definedName name="LTL">Data!$C$65</definedName>
    <definedName name="MAN_B">'NTMA Exec Comp'!$R$47</definedName>
    <definedName name="MANS">'NTMA Exec Comp'!$P$47</definedName>
    <definedName name="MANT">'NTMA Exec Comp'!$T$47</definedName>
    <definedName name="Mat">Data!$C$71</definedName>
    <definedName name="Mine">Data!$C$39</definedName>
    <definedName name="MIS_B">'NTMA Exec Comp'!$R$52</definedName>
    <definedName name="MISS">'NTMA Exec Comp'!$P$52</definedName>
    <definedName name="MIST">'NTMA Exec Comp'!$T$52</definedName>
    <definedName name="Mlds">'NTMA Exec Comp'!$P$26</definedName>
    <definedName name="Name">'NTMA Exec Comp'!$P$15</definedName>
    <definedName name="Net">Data!$C$112</definedName>
    <definedName name="NP">Data!$C$62</definedName>
    <definedName name="NS">'NTMA Exec Comp'!$P$35</definedName>
    <definedName name="Oca">Data!$C$54</definedName>
    <definedName name="Ocl">Data!$C$63</definedName>
    <definedName name="Ocust">Data!$C$43</definedName>
    <definedName name="OE">Data!$C$103</definedName>
    <definedName name="Oemp">Data!$C$23</definedName>
    <definedName name="Oex">Data!$C$109</definedName>
    <definedName name="OFA">Data!$C$59</definedName>
    <definedName name="OI">Data!$C$107</definedName>
    <definedName name="Oind">'NTMA Exec Comp'!$P$32</definedName>
    <definedName name="OM_B">'NTMA Exec Comp'!$R$64</definedName>
    <definedName name="Omfr">Data!$C$88</definedName>
    <definedName name="OMS">'NTMA Exec Comp'!$P$64</definedName>
    <definedName name="OMT">'NTMA Exec Comp'!$T$64</definedName>
    <definedName name="OP">Data!$C$106</definedName>
    <definedName name="Org">Data!$C$17</definedName>
    <definedName name="Osell">Data!$C$101</definedName>
    <definedName name="OT">Data!$C$74</definedName>
    <definedName name="PA">Data!$C$98</definedName>
    <definedName name="PBT">Data!$C$110</definedName>
    <definedName name="PDF">'NTMA Exec Comp'!$P$23</definedName>
    <definedName name="Person">'NTMA Exec Comp'!$P$13</definedName>
    <definedName name="Phone">'NTMA Exec Comp'!$P$21</definedName>
    <definedName name="Prev">Data!$C$45</definedName>
    <definedName name="_xlnm.Print_Area" localSheetId="1">Confidentiality!$A$1:$K$39</definedName>
    <definedName name="_xlnm.Print_Area" localSheetId="2">Data!$A$1:$B$60</definedName>
    <definedName name="_xlnm.Print_Area" localSheetId="0">'NTMA Exec Comp'!$A$2:$U$67</definedName>
    <definedName name="Prodn">'NTMA Exec Comp'!$P$30</definedName>
    <definedName name="PUR_B">'NTMA Exec Comp'!$R$59</definedName>
    <definedName name="PURS">'NTMA Exec Comp'!$P$59</definedName>
    <definedName name="PURT">'NTMA Exec Comp'!$T$59</definedName>
    <definedName name="QC_B">'NTMA Exec Comp'!$R$62</definedName>
    <definedName name="QCS">'NTMA Exec Comp'!$P$62</definedName>
    <definedName name="QCT">'NTMA Exec Comp'!$T$62</definedName>
    <definedName name="Rent">Data!$C$83</definedName>
    <definedName name="RM">Data!$C$76</definedName>
    <definedName name="Sheet">'NTMA Exec Comp'!$P$31</definedName>
    <definedName name="SHOP_B">'NTMA Exec Comp'!$R$60</definedName>
    <definedName name="SHOPS">'NTMA Exec Comp'!$P$60</definedName>
    <definedName name="SHOPT">'NTMA Exec Comp'!$T$60</definedName>
    <definedName name="Sls">Data!$C$95</definedName>
    <definedName name="SLS_B">'NTMA Exec Comp'!$R$66</definedName>
    <definedName name="Slsemp">Data!$C$21</definedName>
    <definedName name="SLSS">'NTMA Exec Comp'!$P$66</definedName>
    <definedName name="SLST">'NTMA Exec Comp'!$T$66</definedName>
    <definedName name="SM_B">'NTMA Exec Comp'!$R$46</definedName>
    <definedName name="SMAN_B">'NTMA Exec Comp'!$R$65</definedName>
    <definedName name="SMANS">'NTMA Exec Comp'!$P$65</definedName>
    <definedName name="SMANT">'NTMA Exec Comp'!$T$65</definedName>
    <definedName name="SMS">'NTMA Exec Comp'!$P$46</definedName>
    <definedName name="SMT">'NTMA Exec Comp'!$T$46</definedName>
    <definedName name="SPC">'NTMA Exec Comp'!$P$29</definedName>
    <definedName name="State">'NTMA Exec Comp'!$P$19</definedName>
    <definedName name="Sub">Data!$C$72</definedName>
    <definedName name="Supp">Data!$C$81</definedName>
    <definedName name="SUPR">Data!$C$78</definedName>
    <definedName name="Supremp">Data!$C$20</definedName>
    <definedName name="TA">Data!$C$60</definedName>
    <definedName name="Tax">Data!$C$111</definedName>
    <definedName name="Taxes">Data!$C$86</definedName>
    <definedName name="TE">Data!$C$105</definedName>
    <definedName name="Title">'NTMA Exec Comp'!$P$14</definedName>
    <definedName name="Tls">'NTMA Exec Comp'!$P$25</definedName>
    <definedName name="TOE">Data!$C$104</definedName>
    <definedName name="TRV">Data!$C$100</definedName>
    <definedName name="UT">Data!$C$82</definedName>
    <definedName name="Wel">Data!$C$80</definedName>
    <definedName name="Years">Data!$C$16</definedName>
    <definedName name="YesNoList">'[1]Exec Comp'!$N$2:$N$6</definedName>
    <definedName name="Yr">'NTMA Exec Comp'!$K$3</definedName>
    <definedName name="Zipcode">'NTMA Exec Comp'!$P$20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B35" i="18"/>
  <c r="P2" i="18"/>
  <c r="O2" i="18"/>
  <c r="N2" i="18"/>
  <c r="M2" i="18"/>
  <c r="L2" i="18"/>
  <c r="K2" i="18"/>
  <c r="H2" i="18"/>
  <c r="D2" i="18"/>
  <c r="G2" i="18"/>
  <c r="C2" i="18"/>
  <c r="B2" i="18"/>
  <c r="T67" i="1"/>
  <c r="T66" i="1"/>
  <c r="B166" i="18"/>
  <c r="T65" i="1"/>
  <c r="T64" i="1"/>
  <c r="T63" i="1"/>
  <c r="B157" i="18"/>
  <c r="T62" i="1"/>
  <c r="T61" i="1"/>
  <c r="T60" i="1"/>
  <c r="T59" i="1"/>
  <c r="T58" i="1"/>
  <c r="T57" i="1"/>
  <c r="T52" i="1"/>
  <c r="T51" i="1"/>
  <c r="T50" i="1"/>
  <c r="T49" i="1"/>
  <c r="B127" i="18"/>
  <c r="T48" i="1"/>
  <c r="B124" i="18"/>
  <c r="T47" i="1"/>
  <c r="T46" i="1"/>
  <c r="T45" i="1"/>
  <c r="B115" i="18"/>
  <c r="B109" i="18"/>
  <c r="B48" i="18"/>
  <c r="B103" i="18"/>
  <c r="B1" i="18"/>
  <c r="B144" i="18"/>
  <c r="B143" i="18"/>
  <c r="B145" i="18"/>
  <c r="B111" i="18"/>
  <c r="B98" i="18"/>
  <c r="B104" i="18"/>
  <c r="B66" i="18"/>
  <c r="B55" i="18"/>
  <c r="B50" i="18"/>
  <c r="B49" i="18"/>
  <c r="B14" i="18"/>
  <c r="B160" i="18"/>
  <c r="B168" i="18"/>
  <c r="B167" i="18"/>
  <c r="B165" i="18"/>
  <c r="B164" i="18"/>
  <c r="B162" i="18"/>
  <c r="B161" i="18"/>
  <c r="B159" i="18"/>
  <c r="B158" i="18"/>
  <c r="B156" i="18"/>
  <c r="B155" i="18"/>
  <c r="B153" i="18"/>
  <c r="B152" i="18"/>
  <c r="B150" i="18"/>
  <c r="B149" i="18"/>
  <c r="B147" i="18"/>
  <c r="B146" i="18"/>
  <c r="B141" i="18"/>
  <c r="B140" i="18"/>
  <c r="B138" i="18"/>
  <c r="B137" i="18"/>
  <c r="B135" i="18"/>
  <c r="B134" i="18"/>
  <c r="B132" i="18"/>
  <c r="B131" i="18"/>
  <c r="B129" i="18"/>
  <c r="B128" i="18"/>
  <c r="B126" i="18"/>
  <c r="B125" i="18"/>
  <c r="B123" i="18"/>
  <c r="B122" i="18"/>
  <c r="B120" i="18"/>
  <c r="B119" i="18"/>
  <c r="B117" i="18"/>
  <c r="B114" i="18"/>
  <c r="B47" i="18"/>
  <c r="B113" i="18"/>
  <c r="B116" i="18"/>
  <c r="B108" i="18"/>
  <c r="B107" i="18"/>
  <c r="B102" i="18"/>
  <c r="B101" i="18"/>
  <c r="B100" i="18"/>
  <c r="B99" i="18"/>
  <c r="B97" i="18"/>
  <c r="B96" i="18"/>
  <c r="B95" i="18"/>
  <c r="B94" i="18"/>
  <c r="B93" i="18"/>
  <c r="B90" i="18"/>
  <c r="B89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4" i="18"/>
  <c r="B73" i="18"/>
  <c r="B72" i="18"/>
  <c r="B71" i="18"/>
  <c r="B70" i="18"/>
  <c r="B69" i="18"/>
  <c r="B65" i="18"/>
  <c r="B62" i="18"/>
  <c r="B61" i="18"/>
  <c r="B57" i="18"/>
  <c r="B56" i="18"/>
  <c r="B53" i="18"/>
  <c r="B52" i="18"/>
  <c r="B51" i="18"/>
  <c r="B46" i="18"/>
  <c r="B45" i="18"/>
  <c r="B44" i="18"/>
  <c r="B42" i="18"/>
  <c r="B41" i="18"/>
  <c r="B40" i="18"/>
  <c r="B39" i="18"/>
  <c r="B38" i="18"/>
  <c r="B37" i="18"/>
  <c r="B36" i="18"/>
  <c r="B33" i="18"/>
  <c r="B32" i="18"/>
  <c r="B31" i="18"/>
  <c r="B30" i="18"/>
  <c r="B29" i="18"/>
  <c r="B28" i="18"/>
  <c r="B27" i="18"/>
  <c r="B26" i="18"/>
  <c r="B25" i="18"/>
  <c r="B17" i="18"/>
  <c r="B16" i="18"/>
  <c r="B15" i="18"/>
  <c r="B10" i="18"/>
  <c r="B75" i="18"/>
  <c r="B43" i="18"/>
  <c r="B133" i="18"/>
  <c r="B148" i="18"/>
  <c r="B58" i="18"/>
  <c r="B64" i="18"/>
  <c r="B169" i="18"/>
  <c r="B163" i="18"/>
  <c r="B142" i="18"/>
  <c r="B139" i="18"/>
  <c r="B121" i="18"/>
  <c r="B105" i="18"/>
  <c r="B130" i="18"/>
  <c r="B136" i="18"/>
  <c r="B34" i="18"/>
  <c r="B151" i="18"/>
  <c r="B118" i="18"/>
  <c r="B154" i="18"/>
  <c r="B92" i="18"/>
  <c r="B91" i="18"/>
  <c r="B88" i="18"/>
  <c r="B110" i="18"/>
  <c r="B63" i="18"/>
  <c r="B106" i="18"/>
  <c r="B54" i="18"/>
  <c r="B59" i="18"/>
  <c r="B60" i="18"/>
  <c r="B112" i="18"/>
  <c r="B68" i="18"/>
  <c r="B67" i="18"/>
  <c r="B23" i="18"/>
  <c r="B20" i="18"/>
  <c r="B21" i="18"/>
  <c r="B19" i="18"/>
  <c r="B18" i="18"/>
  <c r="B24" i="18"/>
  <c r="B22" i="18"/>
</calcChain>
</file>

<file path=xl/sharedStrings.xml><?xml version="1.0" encoding="utf-8"?>
<sst xmlns="http://schemas.openxmlformats.org/spreadsheetml/2006/main" count="290" uniqueCount="266">
  <si>
    <t>Mailing Address</t>
  </si>
  <si>
    <t>Telephone</t>
  </si>
  <si>
    <t>$</t>
  </si>
  <si>
    <t>Company</t>
  </si>
  <si>
    <t>Survey Deadline</t>
  </si>
  <si>
    <t>Participant data will be aggregated in a way that prevents identification of any individual company.</t>
  </si>
  <si>
    <t>1.</t>
  </si>
  <si>
    <t>2.</t>
  </si>
  <si>
    <t>3.</t>
  </si>
  <si>
    <t>4.</t>
  </si>
  <si>
    <t>Major features of their data management procedure include:</t>
  </si>
  <si>
    <t>STATEMENT OF CONFIDENTIALITY</t>
  </si>
  <si>
    <t>procedures, they have never had a confidentiality problem.</t>
  </si>
  <si>
    <t xml:space="preserve">Specific data masking procedures are in place to ensure that no one company's data can be identified </t>
  </si>
  <si>
    <t>from the aggregate industry data being reported.</t>
  </si>
  <si>
    <t>Your firm's data will be identified in the database only by a company identification number.  A single</t>
  </si>
  <si>
    <t>Every precaution has been taken to protect the complete confidentiality of all information, and this</t>
  </si>
  <si>
    <t>responsibility is taken very seriously.  Companies of all sizes, from less than a million to well over a</t>
  </si>
  <si>
    <t>Fax</t>
  </si>
  <si>
    <t>Email Address</t>
  </si>
  <si>
    <t>Owners and management rightly feel that their firm's financial data is highly confidential.</t>
  </si>
  <si>
    <t>Your data will be treated confidentially by Mackay Research Group.</t>
  </si>
  <si>
    <t>handling and protecting data submitted by firms for industry performance surveys. Because of their strict</t>
  </si>
  <si>
    <t>Mackay Research Group is extremely sensitive to this issue, and has developed secure methods of</t>
  </si>
  <si>
    <t>The processing of such data is restricted exclusively to employees of the Mackay Research Group.</t>
  </si>
  <si>
    <t>directly to Mackay Research Group.  Access to your data will be solely restricted to necessary Mackay</t>
  </si>
  <si>
    <t>Research Group personnel.</t>
  </si>
  <si>
    <t>In summary, confidentiality of client information is at the core of Mackay Research Group's business.</t>
  </si>
  <si>
    <t xml:space="preserve">billion dollars in sales, send thousands of survey forms to Mackay Research Group each year, trusting  </t>
  </si>
  <si>
    <t>Mackay Research Group to securely manage their sensitive data.</t>
  </si>
  <si>
    <t>CONFIDENTIAL</t>
  </si>
  <si>
    <t>Mackay Research Group independently conducts this survey for NTMA; you send your questionnaire</t>
  </si>
  <si>
    <t>Executive Compensation Survey</t>
  </si>
  <si>
    <r>
      <t xml:space="preserve">List each individual in the one category which best describes his or her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responsibilities.</t>
    </r>
  </si>
  <si>
    <t>Include the owner(s) if actively employed in the business.</t>
  </si>
  <si>
    <t>Bonus</t>
  </si>
  <si>
    <t>Compensation</t>
  </si>
  <si>
    <t>Chief Executive Officer</t>
  </si>
  <si>
    <t>Top Sales or Marketing Executive</t>
  </si>
  <si>
    <t>Top Manufacturing/Production Exec</t>
  </si>
  <si>
    <t>Top Engineering Executive</t>
  </si>
  <si>
    <t>Top Admin. Executive or Manager</t>
  </si>
  <si>
    <t>Top Human Resources Executive</t>
  </si>
  <si>
    <t>Top MIS Manager</t>
  </si>
  <si>
    <t>General Manager</t>
  </si>
  <si>
    <t>Controller</t>
  </si>
  <si>
    <t>General Shop Superintendent</t>
  </si>
  <si>
    <t>Salaried Foreman</t>
  </si>
  <si>
    <t>Quality Control Manager</t>
  </si>
  <si>
    <t>Chief Designer</t>
  </si>
  <si>
    <t>Office Manager</t>
  </si>
  <si>
    <t>Sales Manager</t>
  </si>
  <si>
    <t>Highest Paid Salesperson</t>
  </si>
  <si>
    <t>Highest Paid Estimator</t>
  </si>
  <si>
    <t>Complete the line for General Manager only if the General Manager is not your company's Top Manufacturing Executive.</t>
  </si>
  <si>
    <t>Please report the following positions if not already included above.</t>
  </si>
  <si>
    <t>surveys@mackayresearchgroup.com</t>
  </si>
  <si>
    <t>Email your completed questionnaire to:</t>
  </si>
  <si>
    <t>Chief Financial Officer (CFO)</t>
  </si>
  <si>
    <t>(not CFO above)</t>
  </si>
  <si>
    <t>Questions regarding this survey?</t>
  </si>
  <si>
    <t>from the data files, where the data is identified only by ID number.</t>
  </si>
  <si>
    <t>master list which cross-references company names and their ID numbers is maintained separately</t>
  </si>
  <si>
    <t>Name</t>
  </si>
  <si>
    <t>Title</t>
  </si>
  <si>
    <t>City</t>
  </si>
  <si>
    <t>State</t>
  </si>
  <si>
    <t>Zip Code</t>
  </si>
  <si>
    <t>Year</t>
  </si>
  <si>
    <t>Address1</t>
  </si>
  <si>
    <t>Address2</t>
  </si>
  <si>
    <t>Zipcode</t>
  </si>
  <si>
    <t>Phone</t>
  </si>
  <si>
    <t>Eaddr</t>
  </si>
  <si>
    <t>FISCAL</t>
  </si>
  <si>
    <t>YEARS</t>
  </si>
  <si>
    <t>ORG</t>
  </si>
  <si>
    <t>DREMP</t>
  </si>
  <si>
    <t>INDEMP</t>
  </si>
  <si>
    <t>SUPREMP</t>
  </si>
  <si>
    <t>SLSEMP</t>
  </si>
  <si>
    <t>EXEMP</t>
  </si>
  <si>
    <t>OEMP</t>
  </si>
  <si>
    <t>EMP</t>
  </si>
  <si>
    <t>GOVTP</t>
  </si>
  <si>
    <t>GOVTS</t>
  </si>
  <si>
    <t>TLS</t>
  </si>
  <si>
    <t>MLDS</t>
  </si>
  <si>
    <t>GPM</t>
  </si>
  <si>
    <t>AMF</t>
  </si>
  <si>
    <t>SPC</t>
  </si>
  <si>
    <t>PRODN</t>
  </si>
  <si>
    <t>SHEET</t>
  </si>
  <si>
    <t>OIND</t>
  </si>
  <si>
    <t>AERO</t>
  </si>
  <si>
    <t>APPL</t>
  </si>
  <si>
    <t>ELECT</t>
  </si>
  <si>
    <t>MINE</t>
  </si>
  <si>
    <t>CHEM</t>
  </si>
  <si>
    <t>FMP</t>
  </si>
  <si>
    <t>FOOD</t>
  </si>
  <si>
    <t>OCUST</t>
  </si>
  <si>
    <t>EXPORT</t>
  </si>
  <si>
    <t>PREV</t>
  </si>
  <si>
    <t>AAR</t>
  </si>
  <si>
    <t>AVG</t>
  </si>
  <si>
    <t>LIFO</t>
  </si>
  <si>
    <t>ADD</t>
  </si>
  <si>
    <t>END</t>
  </si>
  <si>
    <t>TA</t>
  </si>
  <si>
    <t>CA</t>
  </si>
  <si>
    <t>CASH</t>
  </si>
  <si>
    <t>AR</t>
  </si>
  <si>
    <t>INV</t>
  </si>
  <si>
    <t>OCA</t>
  </si>
  <si>
    <t>GFA</t>
  </si>
  <si>
    <t>ACCDPR</t>
  </si>
  <si>
    <t>FIXED</t>
  </si>
  <si>
    <t>OFA</t>
  </si>
  <si>
    <t>CL</t>
  </si>
  <si>
    <t>AP</t>
  </si>
  <si>
    <t>NP</t>
  </si>
  <si>
    <t>OCL</t>
  </si>
  <si>
    <t>LTL</t>
  </si>
  <si>
    <t>LOAN</t>
  </si>
  <si>
    <t>EQTY</t>
  </si>
  <si>
    <t>LIAB</t>
  </si>
  <si>
    <t>NS</t>
  </si>
  <si>
    <t>BINV</t>
  </si>
  <si>
    <t>MAT</t>
  </si>
  <si>
    <t>SUB</t>
  </si>
  <si>
    <t>LAB</t>
  </si>
  <si>
    <t>OT</t>
  </si>
  <si>
    <t>DLAB</t>
  </si>
  <si>
    <t>RM</t>
  </si>
  <si>
    <t>ILAB</t>
  </si>
  <si>
    <t>SUPR</t>
  </si>
  <si>
    <t>BURDEN</t>
  </si>
  <si>
    <t>WEL</t>
  </si>
  <si>
    <t>SUPP</t>
  </si>
  <si>
    <t>UT</t>
  </si>
  <si>
    <t>RENT</t>
  </si>
  <si>
    <t>EQUIP</t>
  </si>
  <si>
    <t>INS</t>
  </si>
  <si>
    <t>TAXES</t>
  </si>
  <si>
    <t>DPR</t>
  </si>
  <si>
    <t>OMFR</t>
  </si>
  <si>
    <t>EINV</t>
  </si>
  <si>
    <t>DIFF</t>
  </si>
  <si>
    <t>COGS</t>
  </si>
  <si>
    <t>GP</t>
  </si>
  <si>
    <t>EXEC</t>
  </si>
  <si>
    <t>ADMIN</t>
  </si>
  <si>
    <t>SLS</t>
  </si>
  <si>
    <t>GABUR</t>
  </si>
  <si>
    <t>GAWEL</t>
  </si>
  <si>
    <t>PA</t>
  </si>
  <si>
    <t>AD</t>
  </si>
  <si>
    <t>TRV</t>
  </si>
  <si>
    <t>OSELL</t>
  </si>
  <si>
    <t>BD</t>
  </si>
  <si>
    <t>OE</t>
  </si>
  <si>
    <t>TOE</t>
  </si>
  <si>
    <t>TE</t>
  </si>
  <si>
    <t>OP</t>
  </si>
  <si>
    <t>OI</t>
  </si>
  <si>
    <t>INT</t>
  </si>
  <si>
    <t>OEX</t>
  </si>
  <si>
    <t>PBT</t>
  </si>
  <si>
    <t>TAX</t>
  </si>
  <si>
    <t>NET</t>
  </si>
  <si>
    <t>CEOS</t>
  </si>
  <si>
    <t>CEO_B</t>
  </si>
  <si>
    <t>CEOT</t>
  </si>
  <si>
    <t>SMS</t>
  </si>
  <si>
    <t>SM_B</t>
  </si>
  <si>
    <t>SMT</t>
  </si>
  <si>
    <t>MANS</t>
  </si>
  <si>
    <t>MAN_B</t>
  </si>
  <si>
    <t>MANT</t>
  </si>
  <si>
    <t>ENGS</t>
  </si>
  <si>
    <t>ENG_B</t>
  </si>
  <si>
    <t>ENGT</t>
  </si>
  <si>
    <t>CFOS</t>
  </si>
  <si>
    <t>CFO_B</t>
  </si>
  <si>
    <t>CFOT</t>
  </si>
  <si>
    <t>ADMS</t>
  </si>
  <si>
    <t>ADM_B</t>
  </si>
  <si>
    <t>ADMT</t>
  </si>
  <si>
    <t>HRS</t>
  </si>
  <si>
    <t>HR_B</t>
  </si>
  <si>
    <t>HRT</t>
  </si>
  <si>
    <t>MISS</t>
  </si>
  <si>
    <t>MIS_B</t>
  </si>
  <si>
    <t>MIST</t>
  </si>
  <si>
    <t>GMS</t>
  </si>
  <si>
    <t>GM_B</t>
  </si>
  <si>
    <t>GMT</t>
  </si>
  <si>
    <t>CONS</t>
  </si>
  <si>
    <t>CON_B</t>
  </si>
  <si>
    <t>CONT</t>
  </si>
  <si>
    <t>SHOPS</t>
  </si>
  <si>
    <t>SHOP_B</t>
  </si>
  <si>
    <t>SHOPT</t>
  </si>
  <si>
    <t>FORES</t>
  </si>
  <si>
    <t>FORE_B</t>
  </si>
  <si>
    <t>FORET</t>
  </si>
  <si>
    <t>QCS</t>
  </si>
  <si>
    <t>QC_B</t>
  </si>
  <si>
    <t>QCT</t>
  </si>
  <si>
    <t>DESS</t>
  </si>
  <si>
    <t>DES_B</t>
  </si>
  <si>
    <t>DEST</t>
  </si>
  <si>
    <t>OMS</t>
  </si>
  <si>
    <t>OM_B</t>
  </si>
  <si>
    <t>OMT</t>
  </si>
  <si>
    <t>SMANS</t>
  </si>
  <si>
    <t>SMAN_B</t>
  </si>
  <si>
    <t>SMANT</t>
  </si>
  <si>
    <t>SLSS</t>
  </si>
  <si>
    <t>SLS_B</t>
  </si>
  <si>
    <t>SLST</t>
  </si>
  <si>
    <t>ESTS</t>
  </si>
  <si>
    <t>EST_B</t>
  </si>
  <si>
    <t>ESTT</t>
  </si>
  <si>
    <t>ID</t>
  </si>
  <si>
    <t>Annual</t>
  </si>
  <si>
    <t>Base Salary</t>
  </si>
  <si>
    <t>PDF</t>
  </si>
  <si>
    <t>Purchasing Manager</t>
  </si>
  <si>
    <t>PURS</t>
  </si>
  <si>
    <t>PUR_B</t>
  </si>
  <si>
    <t>PURT</t>
  </si>
  <si>
    <t>taylor@mackayresearchgroup.com</t>
  </si>
  <si>
    <t>The Executive Compensation Report will be sent to participants only.</t>
  </si>
  <si>
    <t>NOTE:</t>
  </si>
  <si>
    <r>
      <t xml:space="preserve">Please provide the </t>
    </r>
    <r>
      <rPr>
        <b/>
        <sz val="10"/>
        <rFont val="Arial"/>
        <family val="2"/>
      </rPr>
      <t>annual compensation</t>
    </r>
    <r>
      <rPr>
        <sz val="10"/>
        <rFont val="Arial"/>
        <family val="2"/>
      </rPr>
      <t xml:space="preserve"> of the highest paid employee in each of the positions listed below.</t>
    </r>
  </si>
  <si>
    <t>Total Annual</t>
  </si>
  <si>
    <t>Enter values for Annual Base Salary and Bonus.  Total Annual Compensation will be calculated automatically.</t>
  </si>
  <si>
    <t>Please return this questionnaire to:</t>
  </si>
  <si>
    <t>Thank you for participating!</t>
  </si>
  <si>
    <r>
      <t>Annual sales volume</t>
    </r>
    <r>
      <rPr>
        <sz val="10"/>
        <rFont val="Arial"/>
        <family val="2"/>
      </rPr>
      <t xml:space="preserve"> </t>
    </r>
  </si>
  <si>
    <t>Please specify who is to receive your copy of the Executive Compensation Report:</t>
  </si>
  <si>
    <t>b</t>
  </si>
  <si>
    <t>Comp Contact</t>
  </si>
  <si>
    <t>Comp Email</t>
  </si>
  <si>
    <t>EC Contact</t>
  </si>
  <si>
    <t>EC Email</t>
  </si>
  <si>
    <t>OCEC Contact</t>
  </si>
  <si>
    <t>OCEC Email</t>
  </si>
  <si>
    <t>Zip</t>
  </si>
  <si>
    <t>1 = Tools &amp; Dies</t>
  </si>
  <si>
    <t>2 = Molds</t>
  </si>
  <si>
    <t>4 = Aerospace Machining and Fabrication</t>
  </si>
  <si>
    <t>5 = Special Machines</t>
  </si>
  <si>
    <t>6 = Production Operations</t>
  </si>
  <si>
    <t>7 = Sheet Metal Fabrication</t>
  </si>
  <si>
    <t>8 = Diversified, sales in several of the above segments</t>
  </si>
  <si>
    <t>9 = Other</t>
  </si>
  <si>
    <t>Name/Title</t>
  </si>
  <si>
    <t>3 = General Precision Machining (not Aerospace)</t>
  </si>
  <si>
    <t>LOB</t>
  </si>
  <si>
    <t>&lt;= LOB, new in 2022</t>
  </si>
  <si>
    <t>Primary source of revenue</t>
  </si>
  <si>
    <t>— Enter 1-9</t>
  </si>
  <si>
    <t>Based on 2023 compensation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</si>
</sst>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mmmm\ d\,\ yyyy"/>
    <numFmt numFmtId="167" formatCode="&quot;$&quot;#,##0"/>
    <numFmt numFmtId="168" formatCode="00000"/>
    <numFmt numFmtId="169" formatCode="[&lt;=9999999]###\-####;\(###\)\ ###\-####"/>
  </numFmts>
  <fonts count="2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2"/>
      <name val="Arial Black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 Black"/>
      <family val="2"/>
    </font>
    <font>
      <b/>
      <sz val="10"/>
      <name val="Arial"/>
      <family val="2"/>
    </font>
    <font>
      <sz val="12"/>
      <name val="Arial Narrow"/>
      <family val="2"/>
    </font>
    <font>
      <sz val="10"/>
      <color indexed="8"/>
      <name val="MS Sans Serif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</cellStyleXfs>
  <cellXfs count="109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1" applyBorder="1" applyAlignment="1" applyProtection="1">
      <alignment horizontal="center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0" fontId="0" fillId="2" borderId="0" xfId="0" applyFill="1"/>
    <xf numFmtId="0" fontId="9" fillId="0" borderId="0" xfId="0" applyFont="1" applyAlignment="1">
      <alignment horizontal="center"/>
    </xf>
    <xf numFmtId="0" fontId="0" fillId="0" borderId="1" xfId="0" applyBorder="1"/>
    <xf numFmtId="0" fontId="8" fillId="0" borderId="0" xfId="1" applyFill="1" applyBorder="1" applyAlignment="1" applyProtection="1"/>
    <xf numFmtId="0" fontId="1" fillId="0" borderId="0" xfId="1" applyFont="1" applyBorder="1" applyAlignment="1" applyProtection="1">
      <alignment horizontal="left"/>
    </xf>
    <xf numFmtId="0" fontId="16" fillId="0" borderId="0" xfId="0" applyFont="1"/>
    <xf numFmtId="164" fontId="16" fillId="0" borderId="0" xfId="0" applyNumberFormat="1" applyFont="1"/>
    <xf numFmtId="0" fontId="2" fillId="0" borderId="0" xfId="0" applyFont="1"/>
    <xf numFmtId="0" fontId="15" fillId="0" borderId="0" xfId="0" applyFont="1"/>
    <xf numFmtId="168" fontId="16" fillId="0" borderId="0" xfId="0" applyNumberFormat="1" applyFont="1"/>
    <xf numFmtId="3" fontId="16" fillId="0" borderId="0" xfId="0" applyNumberFormat="1" applyFont="1"/>
    <xf numFmtId="3" fontId="2" fillId="0" borderId="0" xfId="0" applyNumberFormat="1" applyFont="1"/>
    <xf numFmtId="165" fontId="16" fillId="0" borderId="0" xfId="0" quotePrefix="1" applyNumberFormat="1" applyFont="1"/>
    <xf numFmtId="0" fontId="16" fillId="0" borderId="0" xfId="7" quotePrefix="1" applyFont="1"/>
    <xf numFmtId="3" fontId="16" fillId="0" borderId="0" xfId="7" quotePrefix="1" applyNumberFormat="1" applyFont="1"/>
    <xf numFmtId="0" fontId="11" fillId="0" borderId="0" xfId="0" applyFont="1"/>
    <xf numFmtId="49" fontId="0" fillId="0" borderId="0" xfId="0" applyNumberFormat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/>
    <xf numFmtId="167" fontId="0" fillId="0" borderId="2" xfId="0" applyNumberFormat="1" applyBorder="1"/>
    <xf numFmtId="0" fontId="0" fillId="0" borderId="3" xfId="0" applyBorder="1"/>
    <xf numFmtId="167" fontId="0" fillId="0" borderId="3" xfId="0" applyNumberFormat="1" applyBorder="1"/>
    <xf numFmtId="0" fontId="6" fillId="0" borderId="3" xfId="0" applyFont="1" applyBorder="1"/>
    <xf numFmtId="0" fontId="0" fillId="0" borderId="4" xfId="0" applyBorder="1"/>
    <xf numFmtId="0" fontId="6" fillId="0" borderId="2" xfId="0" applyFont="1" applyBorder="1"/>
    <xf numFmtId="0" fontId="6" fillId="0" borderId="4" xfId="0" applyFont="1" applyBorder="1"/>
    <xf numFmtId="0" fontId="3" fillId="0" borderId="3" xfId="0" applyFont="1" applyBorder="1"/>
    <xf numFmtId="167" fontId="5" fillId="0" borderId="3" xfId="0" applyNumberFormat="1" applyFont="1" applyBorder="1"/>
    <xf numFmtId="0" fontId="3" fillId="0" borderId="2" xfId="0" applyFont="1" applyBorder="1"/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right"/>
    </xf>
    <xf numFmtId="1" fontId="5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0" fontId="8" fillId="0" borderId="0" xfId="1" applyAlignment="1" applyProtection="1"/>
    <xf numFmtId="167" fontId="5" fillId="4" borderId="5" xfId="0" applyNumberFormat="1" applyFont="1" applyFill="1" applyBorder="1" applyProtection="1">
      <protection locked="0"/>
    </xf>
    <xf numFmtId="167" fontId="0" fillId="4" borderId="5" xfId="0" applyNumberFormat="1" applyFill="1" applyBorder="1" applyProtection="1">
      <protection locked="0"/>
    </xf>
    <xf numFmtId="1" fontId="5" fillId="0" borderId="0" xfId="0" applyNumberFormat="1" applyFont="1" applyProtection="1">
      <protection locked="0"/>
    </xf>
    <xf numFmtId="1" fontId="16" fillId="0" borderId="0" xfId="0" applyNumberFormat="1" applyFont="1"/>
    <xf numFmtId="0" fontId="12" fillId="3" borderId="6" xfId="12" applyFont="1" applyFill="1" applyBorder="1" applyAlignment="1">
      <alignment horizontal="center"/>
    </xf>
    <xf numFmtId="0" fontId="3" fillId="3" borderId="6" xfId="12" applyFont="1" applyFill="1" applyBorder="1" applyAlignment="1">
      <alignment horizontal="center"/>
    </xf>
    <xf numFmtId="168" fontId="12" fillId="3" borderId="6" xfId="12" applyNumberFormat="1" applyFont="1" applyFill="1" applyBorder="1" applyAlignment="1">
      <alignment horizontal="left"/>
    </xf>
    <xf numFmtId="168" fontId="5" fillId="0" borderId="0" xfId="0" applyNumberFormat="1" applyFont="1"/>
    <xf numFmtId="169" fontId="13" fillId="0" borderId="0" xfId="0" applyNumberFormat="1" applyFont="1"/>
    <xf numFmtId="0" fontId="16" fillId="5" borderId="0" xfId="0" applyFont="1" applyFill="1"/>
    <xf numFmtId="169" fontId="20" fillId="5" borderId="0" xfId="0" applyNumberFormat="1" applyFont="1" applyFill="1"/>
    <xf numFmtId="165" fontId="16" fillId="5" borderId="0" xfId="0" quotePrefix="1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164" fontId="16" fillId="5" borderId="0" xfId="0" applyNumberFormat="1" applyFont="1" applyFill="1"/>
    <xf numFmtId="3" fontId="16" fillId="5" borderId="0" xfId="0" applyNumberFormat="1" applyFont="1" applyFill="1"/>
    <xf numFmtId="3" fontId="2" fillId="5" borderId="0" xfId="0" applyNumberFormat="1" applyFont="1" applyFill="1"/>
    <xf numFmtId="0" fontId="16" fillId="5" borderId="0" xfId="7" quotePrefix="1" applyFont="1" applyFill="1"/>
    <xf numFmtId="3" fontId="16" fillId="5" borderId="0" xfId="7" quotePrefix="1" applyNumberFormat="1" applyFont="1" applyFill="1"/>
    <xf numFmtId="3" fontId="17" fillId="5" borderId="0" xfId="0" applyNumberFormat="1" applyFont="1" applyFill="1"/>
    <xf numFmtId="3" fontId="2" fillId="5" borderId="0" xfId="7" quotePrefix="1" applyNumberFormat="1" applyFont="1" applyFill="1"/>
    <xf numFmtId="0" fontId="0" fillId="6" borderId="0" xfId="0" applyFill="1"/>
    <xf numFmtId="0" fontId="2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3" fillId="7" borderId="8" xfId="0" applyFont="1" applyFill="1" applyBorder="1" applyAlignment="1">
      <alignment horizontal="center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5" fillId="7" borderId="11" xfId="0" applyFont="1" applyFill="1" applyBorder="1" applyAlignment="1">
      <alignment horizontal="center"/>
    </xf>
    <xf numFmtId="0" fontId="0" fillId="7" borderId="12" xfId="0" applyFill="1" applyBorder="1"/>
    <xf numFmtId="0" fontId="22" fillId="6" borderId="0" xfId="0" applyFont="1" applyFill="1" applyAlignment="1">
      <alignment horizontal="left"/>
    </xf>
    <xf numFmtId="0" fontId="10" fillId="0" borderId="13" xfId="0" applyFont="1" applyBorder="1" applyAlignment="1">
      <alignment horizontal="center" vertical="center"/>
    </xf>
    <xf numFmtId="166" fontId="10" fillId="0" borderId="14" xfId="0" applyNumberFormat="1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4" borderId="5" xfId="0" applyNumberFormat="1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8" fontId="5" fillId="4" borderId="15" xfId="0" applyNumberFormat="1" applyFont="1" applyFill="1" applyBorder="1" applyAlignment="1" applyProtection="1">
      <alignment horizontal="left" vertical="center"/>
      <protection locked="0"/>
    </xf>
    <xf numFmtId="168" fontId="0" fillId="4" borderId="16" xfId="0" applyNumberFormat="1" applyFill="1" applyBorder="1" applyAlignment="1" applyProtection="1">
      <alignment horizontal="left" vertical="center"/>
      <protection locked="0"/>
    </xf>
    <xf numFmtId="168" fontId="0" fillId="4" borderId="17" xfId="0" applyNumberFormat="1" applyFill="1" applyBorder="1" applyAlignment="1" applyProtection="1">
      <alignment horizontal="left" vertical="center"/>
      <protection locked="0"/>
    </xf>
    <xf numFmtId="1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vertical="center"/>
    </xf>
    <xf numFmtId="169" fontId="5" fillId="4" borderId="15" xfId="0" applyNumberFormat="1" applyFont="1" applyFill="1" applyBorder="1" applyAlignment="1" applyProtection="1">
      <alignment horizontal="left" vertical="center"/>
      <protection locked="0"/>
    </xf>
    <xf numFmtId="169" fontId="0" fillId="4" borderId="16" xfId="0" applyNumberFormat="1" applyFill="1" applyBorder="1" applyAlignment="1" applyProtection="1">
      <alignment horizontal="left" vertical="center"/>
      <protection locked="0"/>
    </xf>
    <xf numFmtId="169" fontId="0" fillId="4" borderId="17" xfId="0" applyNumberFormat="1" applyFill="1" applyBorder="1" applyAlignment="1" applyProtection="1">
      <alignment horizontal="left" vertical="center"/>
      <protection locked="0"/>
    </xf>
    <xf numFmtId="0" fontId="8" fillId="0" borderId="0" xfId="1" applyBorder="1" applyAlignment="1" applyProtection="1">
      <alignment horizontal="left" vertical="center"/>
      <protection locked="0"/>
    </xf>
  </cellXfs>
  <cellStyles count="13">
    <cellStyle name="Hyperlink" xfId="1" builtinId="8"/>
    <cellStyle name="Hyperlink 2" xfId="2"/>
    <cellStyle name="Hyperlink 2 2" xfId="3"/>
    <cellStyle name="Hyperlink 2 3" xfId="4"/>
    <cellStyle name="Hyperlink 3" xfId="5"/>
    <cellStyle name="Hyperlink 3 2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_Sheet3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A82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180975</xdr:rowOff>
    </xdr:from>
    <xdr:to>
      <xdr:col>10</xdr:col>
      <xdr:colOff>0</xdr:colOff>
      <xdr:row>3</xdr:row>
      <xdr:rowOff>190500</xdr:rowOff>
    </xdr:to>
    <xdr:pic>
      <xdr:nvPicPr>
        <xdr:cNvPr id="1167" name="Picture 11" descr="NTMA-main">
          <a:extLst>
            <a:ext uri="{FF2B5EF4-FFF2-40B4-BE49-F238E27FC236}">
              <a16:creationId xmlns:a16="http://schemas.microsoft.com/office/drawing/2014/main" id="{2496DBD7-A464-C4EE-3E19-82389222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1781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Profit/Ingc/ingcq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nfidentiality"/>
      <sheetName val="Genl Info"/>
      <sheetName val="Exec Comp"/>
      <sheetName val="Employee Comp"/>
      <sheetName val="Sales Staff Policy"/>
      <sheetName val="Service Staff Policy"/>
      <sheetName val="Benefit Programs"/>
      <sheetName val="Print"/>
    </sheetNames>
    <sheetDataSet>
      <sheetData sheetId="0"/>
      <sheetData sheetId="1"/>
      <sheetData sheetId="2"/>
      <sheetData sheetId="3">
        <row r="2">
          <cell r="N2" t="str">
            <v>Y</v>
          </cell>
        </row>
        <row r="3">
          <cell r="N3" t="str">
            <v>N</v>
          </cell>
        </row>
        <row r="4">
          <cell r="N4" t="str">
            <v>y</v>
          </cell>
        </row>
        <row r="5">
          <cell r="N5" t="str">
            <v>n</v>
          </cell>
        </row>
        <row r="6">
          <cell r="N6" t="str">
            <v xml:space="preserve"> 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n@mackayresearchgroup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taylor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urveys@mackayresearchgroup.com" TargetMode="External"/><Relationship Id="rId4" Type="http://schemas.openxmlformats.org/officeDocument/2006/relationships/hyperlink" Target="mailto:taylor@mackayresear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showRowColHeaders="0" tabSelected="1" zoomScaleNormal="100" zoomScaleSheetLayoutView="90" workbookViewId="0">
      <selection activeCell="P13" sqref="P13:T13"/>
    </sheetView>
  </sheetViews>
  <sheetFormatPr defaultColWidth="0" defaultRowHeight="12.75" x14ac:dyDescent="0.2"/>
  <cols>
    <col min="1" max="15" width="2.7109375" customWidth="1"/>
    <col min="16" max="16" width="15.7109375" customWidth="1"/>
    <col min="17" max="17" width="2.7109375" customWidth="1"/>
    <col min="18" max="18" width="15.7109375" customWidth="1"/>
    <col min="19" max="19" width="2.7109375" customWidth="1"/>
    <col min="20" max="20" width="20" customWidth="1"/>
    <col min="21" max="21" width="2.7109375" customWidth="1"/>
    <col min="22" max="22" width="18.7109375" hidden="1" customWidth="1"/>
    <col min="23" max="23" width="6.7109375" hidden="1" customWidth="1"/>
  </cols>
  <sheetData>
    <row r="1" spans="1:20" s="74" customFormat="1" ht="15" customHeight="1" x14ac:dyDescent="0.2">
      <c r="T1" s="86" t="s">
        <v>4</v>
      </c>
    </row>
    <row r="2" spans="1:20" s="74" customFormat="1" ht="23.25" thickBot="1" x14ac:dyDescent="0.3">
      <c r="C2" s="75"/>
      <c r="P2" s="89" t="s">
        <v>30</v>
      </c>
      <c r="T2" s="87">
        <v>45337</v>
      </c>
    </row>
    <row r="3" spans="1:20" s="74" customFormat="1" ht="18" customHeight="1" x14ac:dyDescent="0.25">
      <c r="B3" s="75"/>
      <c r="C3" s="75"/>
      <c r="K3" s="103">
        <v>2024</v>
      </c>
      <c r="L3" s="104"/>
      <c r="M3" s="104"/>
      <c r="N3" s="104"/>
      <c r="O3" s="90" t="s">
        <v>32</v>
      </c>
      <c r="P3" s="85"/>
      <c r="R3" s="76"/>
    </row>
    <row r="4" spans="1:20" s="74" customFormat="1" ht="15.75" x14ac:dyDescent="0.2">
      <c r="P4" s="88" t="s">
        <v>265</v>
      </c>
    </row>
    <row r="5" spans="1:20" ht="6" customHeight="1" thickBot="1" x14ac:dyDescent="0.3">
      <c r="P5" s="15"/>
    </row>
    <row r="6" spans="1:20" ht="12.75" customHeight="1" x14ac:dyDescent="0.2"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79" t="s">
        <v>21</v>
      </c>
      <c r="Q6" s="78"/>
      <c r="R6" s="78"/>
      <c r="S6" s="78"/>
      <c r="T6" s="80"/>
    </row>
    <row r="7" spans="1:20" ht="12.75" customHeight="1" thickBot="1" x14ac:dyDescent="0.25"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3"/>
      <c r="P7" s="83" t="s">
        <v>5</v>
      </c>
      <c r="Q7" s="82"/>
      <c r="R7" s="82"/>
      <c r="S7" s="82"/>
      <c r="T7" s="84"/>
    </row>
    <row r="8" spans="1:20" ht="3" customHeight="1" x14ac:dyDescent="0.2">
      <c r="B8" s="5"/>
      <c r="C8" s="3"/>
      <c r="N8" s="4"/>
      <c r="O8" s="4"/>
      <c r="P8" s="4"/>
      <c r="Q8" s="4"/>
      <c r="R8" s="4"/>
    </row>
    <row r="9" spans="1:20" ht="12.75" customHeight="1" x14ac:dyDescent="0.2">
      <c r="B9" s="47" t="s">
        <v>234</v>
      </c>
      <c r="C9" s="3"/>
      <c r="N9" s="4"/>
      <c r="O9" s="4"/>
      <c r="P9" s="4"/>
      <c r="Q9" s="4"/>
      <c r="R9" s="4"/>
    </row>
    <row r="10" spans="1:20" s="1" customFormat="1" ht="12.75" customHeight="1" x14ac:dyDescent="0.2">
      <c r="A10" s="6"/>
      <c r="B10" s="18" t="s">
        <v>60</v>
      </c>
      <c r="C10" s="4"/>
      <c r="M10" s="108" t="s">
        <v>233</v>
      </c>
      <c r="N10" s="108"/>
      <c r="O10" s="108"/>
      <c r="P10" s="108"/>
      <c r="Q10" s="108"/>
      <c r="R10" s="108"/>
    </row>
    <row r="11" spans="1:20" s="1" customFormat="1" ht="12.75" customHeight="1" x14ac:dyDescent="0.2">
      <c r="A11" s="6"/>
      <c r="B11" s="9" t="s">
        <v>57</v>
      </c>
      <c r="C11" s="4"/>
      <c r="N11" s="4"/>
      <c r="O11" s="4"/>
      <c r="P11" s="108" t="s">
        <v>56</v>
      </c>
      <c r="Q11" s="108"/>
      <c r="R11" s="108"/>
    </row>
    <row r="12" spans="1:20" s="1" customFormat="1" ht="12.75" customHeight="1" x14ac:dyDescent="0.2">
      <c r="A12" s="6"/>
      <c r="B12" t="s">
        <v>242</v>
      </c>
      <c r="C12" s="8"/>
      <c r="T12" s="55"/>
    </row>
    <row r="13" spans="1:20" ht="12.75" customHeight="1" x14ac:dyDescent="0.2">
      <c r="A13" s="7"/>
      <c r="H13" s="1" t="s">
        <v>259</v>
      </c>
      <c r="O13" s="16"/>
      <c r="P13" s="94"/>
      <c r="Q13" s="95"/>
      <c r="R13" s="95"/>
      <c r="S13" s="95"/>
      <c r="T13" s="96"/>
    </row>
    <row r="14" spans="1:20" ht="12.75" hidden="1" customHeight="1" x14ac:dyDescent="0.2">
      <c r="A14" s="7"/>
      <c r="H14" t="s">
        <v>64</v>
      </c>
      <c r="O14" s="16"/>
      <c r="P14" s="97"/>
      <c r="Q14" s="98"/>
      <c r="R14" s="98"/>
      <c r="S14" s="98"/>
      <c r="T14" s="99"/>
    </row>
    <row r="15" spans="1:20" ht="12.75" customHeight="1" x14ac:dyDescent="0.2">
      <c r="A15" s="7"/>
      <c r="H15" t="s">
        <v>3</v>
      </c>
      <c r="O15" s="16"/>
      <c r="P15" s="94"/>
      <c r="Q15" s="95"/>
      <c r="R15" s="95"/>
      <c r="S15" s="95"/>
      <c r="T15" s="96"/>
    </row>
    <row r="16" spans="1:20" ht="12.75" customHeight="1" x14ac:dyDescent="0.2">
      <c r="H16" t="s">
        <v>0</v>
      </c>
      <c r="O16" s="16"/>
      <c r="P16" s="94"/>
      <c r="Q16" s="95"/>
      <c r="R16" s="95"/>
      <c r="S16" s="95"/>
      <c r="T16" s="96"/>
    </row>
    <row r="17" spans="2:21" ht="12.75" hidden="1" customHeight="1" x14ac:dyDescent="0.2">
      <c r="O17" s="16"/>
      <c r="P17" s="97"/>
      <c r="Q17" s="98"/>
      <c r="R17" s="98"/>
      <c r="S17" s="98"/>
      <c r="T17" s="99"/>
    </row>
    <row r="18" spans="2:21" ht="12.75" customHeight="1" x14ac:dyDescent="0.2">
      <c r="H18" t="s">
        <v>65</v>
      </c>
      <c r="O18" s="16"/>
      <c r="P18" s="94"/>
      <c r="Q18" s="95"/>
      <c r="R18" s="95"/>
      <c r="S18" s="95"/>
      <c r="T18" s="96"/>
    </row>
    <row r="19" spans="2:21" ht="12.75" customHeight="1" x14ac:dyDescent="0.2">
      <c r="H19" t="s">
        <v>66</v>
      </c>
      <c r="O19" s="16"/>
      <c r="P19" s="94"/>
      <c r="Q19" s="95"/>
      <c r="R19" s="95"/>
      <c r="S19" s="95"/>
      <c r="T19" s="96"/>
    </row>
    <row r="20" spans="2:21" ht="12.75" customHeight="1" x14ac:dyDescent="0.2">
      <c r="H20" t="s">
        <v>67</v>
      </c>
      <c r="O20" s="16"/>
      <c r="P20" s="100"/>
      <c r="Q20" s="101"/>
      <c r="R20" s="101"/>
      <c r="S20" s="101"/>
      <c r="T20" s="102"/>
    </row>
    <row r="21" spans="2:21" ht="12.75" customHeight="1" x14ac:dyDescent="0.2">
      <c r="H21" t="s">
        <v>1</v>
      </c>
      <c r="O21" s="16"/>
      <c r="P21" s="105"/>
      <c r="Q21" s="106"/>
      <c r="R21" s="106"/>
      <c r="S21" s="106"/>
      <c r="T21" s="107"/>
    </row>
    <row r="22" spans="2:21" ht="12.75" customHeight="1" x14ac:dyDescent="0.2">
      <c r="H22" t="s">
        <v>19</v>
      </c>
      <c r="N22" s="17"/>
      <c r="O22" s="16"/>
      <c r="P22" s="94"/>
      <c r="Q22" s="95"/>
      <c r="R22" s="95"/>
      <c r="S22" s="95"/>
      <c r="T22" s="96"/>
    </row>
    <row r="23" spans="2:21" ht="6" customHeight="1" x14ac:dyDescent="0.2"/>
    <row r="24" spans="2:21" ht="12.75" customHeight="1" x14ac:dyDescent="0.2">
      <c r="B24" s="48" t="s">
        <v>6</v>
      </c>
      <c r="C24" s="10" t="s">
        <v>263</v>
      </c>
      <c r="E24" s="1"/>
      <c r="G24" s="1"/>
      <c r="H24" s="1"/>
      <c r="I24" s="1"/>
      <c r="J24" s="1"/>
      <c r="K24" s="1"/>
      <c r="L24" s="1"/>
      <c r="M24" s="1"/>
      <c r="N24" s="1"/>
      <c r="O24" s="4"/>
      <c r="P24" s="93"/>
      <c r="Q24" s="10" t="s">
        <v>264</v>
      </c>
      <c r="R24" s="4"/>
      <c r="S24" s="4"/>
      <c r="T24" s="1"/>
      <c r="U24" s="1"/>
    </row>
    <row r="25" spans="2:21" ht="12.75" customHeight="1" x14ac:dyDescent="0.2">
      <c r="B25" s="48"/>
      <c r="C25" s="1" t="s">
        <v>251</v>
      </c>
      <c r="E25" s="1"/>
      <c r="G25" s="1"/>
      <c r="H25" s="1"/>
      <c r="I25" s="1"/>
      <c r="J25" s="1"/>
      <c r="K25" s="1"/>
      <c r="L25" s="1"/>
      <c r="M25" s="1"/>
      <c r="N25" s="1"/>
      <c r="O25" s="4"/>
      <c r="P25" s="49"/>
      <c r="Q25" s="4"/>
      <c r="R25" s="4"/>
      <c r="S25" s="4"/>
      <c r="T25" s="1"/>
      <c r="U25" s="1"/>
    </row>
    <row r="26" spans="2:21" ht="12.75" customHeight="1" x14ac:dyDescent="0.2">
      <c r="B26" s="48"/>
      <c r="C26" s="1" t="s">
        <v>252</v>
      </c>
      <c r="D26" s="10"/>
      <c r="E26" s="1"/>
      <c r="G26" s="1"/>
      <c r="H26" s="1"/>
      <c r="I26" s="1"/>
      <c r="J26" s="1"/>
      <c r="K26" s="1"/>
      <c r="L26" s="1"/>
      <c r="M26" s="1"/>
      <c r="N26" s="1"/>
      <c r="O26" s="4"/>
      <c r="P26" s="49"/>
      <c r="Q26" s="4"/>
      <c r="R26" s="4"/>
      <c r="S26" s="4"/>
      <c r="T26" s="1"/>
      <c r="U26" s="1"/>
    </row>
    <row r="27" spans="2:21" ht="12.75" customHeight="1" x14ac:dyDescent="0.2">
      <c r="B27" s="48"/>
      <c r="C27" s="1" t="s">
        <v>260</v>
      </c>
      <c r="E27" s="1"/>
      <c r="G27" s="1"/>
      <c r="H27" s="1"/>
      <c r="I27" s="1"/>
      <c r="J27" s="1"/>
      <c r="K27" s="1"/>
      <c r="L27" s="1"/>
      <c r="M27" s="1"/>
      <c r="N27" s="1"/>
      <c r="O27" s="4"/>
      <c r="P27" s="49"/>
      <c r="Q27" s="4"/>
      <c r="R27" s="4"/>
      <c r="S27" s="4"/>
      <c r="T27" s="1"/>
      <c r="U27" s="1"/>
    </row>
    <row r="28" spans="2:21" ht="12.75" customHeight="1" x14ac:dyDescent="0.2">
      <c r="B28" s="48"/>
      <c r="C28" s="1" t="s">
        <v>253</v>
      </c>
      <c r="E28" s="1"/>
      <c r="G28" s="1"/>
      <c r="H28" s="1"/>
      <c r="I28" s="1"/>
      <c r="J28" s="1"/>
      <c r="K28" s="1"/>
      <c r="L28" s="1"/>
      <c r="M28" s="1"/>
      <c r="N28" s="1"/>
      <c r="O28" s="4"/>
      <c r="P28" s="49"/>
      <c r="Q28" s="4"/>
      <c r="R28" s="4"/>
      <c r="S28" s="4"/>
      <c r="T28" s="1"/>
      <c r="U28" s="1"/>
    </row>
    <row r="29" spans="2:21" ht="12.75" customHeight="1" x14ac:dyDescent="0.2">
      <c r="B29" s="48"/>
      <c r="C29" s="1" t="s">
        <v>254</v>
      </c>
      <c r="E29" s="1"/>
      <c r="G29" s="1"/>
      <c r="H29" s="1"/>
      <c r="I29" s="1"/>
      <c r="J29" s="1"/>
      <c r="K29" s="1"/>
      <c r="L29" s="1"/>
      <c r="M29" s="1"/>
      <c r="N29" s="1"/>
      <c r="O29" s="4"/>
      <c r="P29" s="49"/>
      <c r="Q29" s="4"/>
      <c r="R29" s="4"/>
      <c r="S29" s="4"/>
      <c r="T29" s="1"/>
      <c r="U29" s="1"/>
    </row>
    <row r="30" spans="2:21" ht="12.75" customHeight="1" x14ac:dyDescent="0.2">
      <c r="B30" s="48"/>
      <c r="C30" s="1" t="s">
        <v>255</v>
      </c>
      <c r="E30" s="1"/>
      <c r="G30" s="1"/>
      <c r="H30" s="1"/>
      <c r="I30" s="1"/>
      <c r="J30" s="1"/>
      <c r="K30" s="1"/>
      <c r="L30" s="1"/>
      <c r="M30" s="1"/>
      <c r="N30" s="1"/>
      <c r="O30" s="4"/>
      <c r="P30" s="49"/>
      <c r="Q30" s="4"/>
      <c r="R30" s="4"/>
      <c r="S30" s="4"/>
      <c r="T30" s="1"/>
      <c r="U30" s="1"/>
    </row>
    <row r="31" spans="2:21" ht="12.75" customHeight="1" x14ac:dyDescent="0.2">
      <c r="B31" s="48"/>
      <c r="C31" s="1" t="s">
        <v>256</v>
      </c>
      <c r="E31" s="1"/>
      <c r="G31" s="1"/>
      <c r="H31" s="1"/>
      <c r="I31" s="1"/>
      <c r="J31" s="1"/>
      <c r="K31" s="1"/>
      <c r="L31" s="1"/>
      <c r="M31" s="1"/>
      <c r="N31" s="1"/>
      <c r="O31" s="4"/>
      <c r="P31" s="49"/>
      <c r="Q31" s="4"/>
      <c r="R31" s="4"/>
      <c r="S31" s="4"/>
      <c r="T31" s="1"/>
      <c r="U31" s="1"/>
    </row>
    <row r="32" spans="2:21" ht="12.75" customHeight="1" x14ac:dyDescent="0.2">
      <c r="B32" s="48"/>
      <c r="C32" s="1" t="s">
        <v>257</v>
      </c>
      <c r="E32" s="1"/>
      <c r="G32" s="1"/>
      <c r="H32" s="1"/>
      <c r="I32" s="1"/>
      <c r="J32" s="1"/>
      <c r="K32" s="1"/>
      <c r="L32" s="1"/>
      <c r="M32" s="1"/>
      <c r="N32" s="1"/>
      <c r="O32" s="4"/>
      <c r="P32" s="49"/>
      <c r="Q32" s="4"/>
      <c r="R32" s="4"/>
      <c r="S32" s="4"/>
      <c r="T32" s="1"/>
      <c r="U32" s="1"/>
    </row>
    <row r="33" spans="2:21" ht="12.75" customHeight="1" x14ac:dyDescent="0.2">
      <c r="B33" s="48"/>
      <c r="C33" s="1" t="s">
        <v>258</v>
      </c>
      <c r="D33" s="1"/>
      <c r="E33" s="1"/>
      <c r="G33" s="1"/>
      <c r="H33" s="1"/>
      <c r="I33" s="1"/>
      <c r="J33" s="1"/>
      <c r="K33" s="1"/>
      <c r="L33" s="1"/>
      <c r="M33" s="1"/>
      <c r="N33" s="1"/>
      <c r="O33" s="4"/>
      <c r="P33" s="50"/>
      <c r="Q33" s="2"/>
      <c r="R33" s="4"/>
      <c r="S33" s="4"/>
      <c r="T33" s="1"/>
      <c r="U33" s="1"/>
    </row>
    <row r="34" spans="2:21" ht="3" customHeight="1" x14ac:dyDescent="0.2">
      <c r="C34" s="10"/>
      <c r="D34" s="4"/>
      <c r="E34" s="1"/>
      <c r="F34" s="1"/>
      <c r="G34" s="1"/>
      <c r="H34" s="1"/>
      <c r="I34" s="1"/>
      <c r="J34" s="1"/>
      <c r="K34" s="1"/>
      <c r="L34" s="1"/>
      <c r="M34" s="1"/>
      <c r="N34" s="1"/>
      <c r="O34" s="4"/>
      <c r="P34" s="4"/>
      <c r="Q34" s="4"/>
      <c r="R34" s="4"/>
      <c r="S34" s="4"/>
      <c r="T34" s="1"/>
      <c r="U34" s="1"/>
    </row>
    <row r="35" spans="2:21" ht="12.75" customHeight="1" x14ac:dyDescent="0.2">
      <c r="B35" s="48" t="s">
        <v>7</v>
      </c>
      <c r="C35" s="10" t="s">
        <v>241</v>
      </c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51" t="s">
        <v>2</v>
      </c>
      <c r="P35" s="53"/>
      <c r="Q35" s="4"/>
      <c r="R35" s="4"/>
      <c r="S35" s="4"/>
      <c r="T35" s="1"/>
      <c r="U35" s="1"/>
    </row>
    <row r="36" spans="2:21" ht="3" customHeight="1" x14ac:dyDescent="0.2">
      <c r="C36" s="10"/>
      <c r="D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4"/>
      <c r="P36" s="4"/>
      <c r="Q36" s="4"/>
      <c r="R36" s="4"/>
      <c r="S36" s="4"/>
      <c r="T36" s="1"/>
      <c r="U36" s="1"/>
    </row>
    <row r="37" spans="2:21" ht="12.75" customHeight="1" x14ac:dyDescent="0.2">
      <c r="C37" s="91" t="s">
        <v>235</v>
      </c>
      <c r="D37" s="4"/>
      <c r="E37" s="1"/>
      <c r="F37" s="1" t="str">
        <f>"Wherever possible, please report "&amp;Yr-1&amp;" actual data."</f>
        <v>Wherever possible, please report 2023 actual data.</v>
      </c>
      <c r="G37" s="1"/>
      <c r="H37" s="1"/>
      <c r="I37" s="1"/>
      <c r="J37" s="1"/>
      <c r="K37" s="1"/>
      <c r="L37" s="1"/>
      <c r="M37" s="1"/>
      <c r="N37" s="1"/>
      <c r="O37" s="4"/>
      <c r="P37" s="4"/>
      <c r="Q37" s="4"/>
      <c r="R37" s="4"/>
      <c r="S37" s="4"/>
      <c r="T37" s="1"/>
      <c r="U37" s="1"/>
    </row>
    <row r="38" spans="2:21" ht="12.75" customHeight="1" x14ac:dyDescent="0.2">
      <c r="C38" s="92" t="s">
        <v>236</v>
      </c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4"/>
      <c r="P38" s="4"/>
      <c r="Q38" s="4"/>
      <c r="R38" s="4"/>
      <c r="S38" s="4"/>
      <c r="T38" s="1"/>
      <c r="U38" s="1"/>
    </row>
    <row r="39" spans="2:21" ht="12.75" hidden="1" customHeight="1" x14ac:dyDescent="0.2">
      <c r="C39" s="92" t="s">
        <v>33</v>
      </c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4"/>
      <c r="Q39" s="4"/>
      <c r="R39" s="4"/>
      <c r="S39" s="4"/>
      <c r="T39" s="1"/>
      <c r="U39" s="1"/>
    </row>
    <row r="40" spans="2:21" ht="12.75" customHeight="1" x14ac:dyDescent="0.2">
      <c r="C40" s="92" t="s">
        <v>34</v>
      </c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4"/>
      <c r="Q40" s="4"/>
      <c r="R40" s="4"/>
      <c r="S40" s="4"/>
      <c r="T40" s="1"/>
      <c r="U40" s="1"/>
    </row>
    <row r="41" spans="2:21" ht="12.75" customHeight="1" x14ac:dyDescent="0.2">
      <c r="C41" s="92" t="s">
        <v>238</v>
      </c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4"/>
      <c r="Q41" s="4"/>
      <c r="R41" s="4"/>
      <c r="S41" s="4"/>
      <c r="T41" s="1"/>
      <c r="U41" s="1"/>
    </row>
    <row r="42" spans="2:21" ht="3" customHeight="1" x14ac:dyDescent="0.2"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4"/>
      <c r="P42" s="4"/>
      <c r="Q42" s="4"/>
      <c r="R42" s="4"/>
      <c r="S42" s="4"/>
      <c r="T42" s="1"/>
      <c r="U42" s="1"/>
    </row>
    <row r="43" spans="2:21" ht="12.4" customHeight="1" x14ac:dyDescent="0.2">
      <c r="B43" s="10"/>
      <c r="C43" s="10"/>
      <c r="O43" s="2"/>
      <c r="P43" s="2" t="s">
        <v>226</v>
      </c>
      <c r="Q43" s="12"/>
      <c r="R43" s="2"/>
      <c r="S43" s="12"/>
      <c r="T43" s="2" t="s">
        <v>237</v>
      </c>
    </row>
    <row r="44" spans="2:21" ht="12.75" customHeight="1" x14ac:dyDescent="0.2">
      <c r="C44" s="1"/>
      <c r="O44" s="33"/>
      <c r="P44" s="33" t="s">
        <v>227</v>
      </c>
      <c r="Q44" s="12"/>
      <c r="R44" s="33" t="s">
        <v>35</v>
      </c>
      <c r="S44" s="12"/>
      <c r="T44" s="33" t="s">
        <v>36</v>
      </c>
    </row>
    <row r="45" spans="2:21" ht="12.75" customHeight="1" x14ac:dyDescent="0.2">
      <c r="B45" s="48" t="s">
        <v>8</v>
      </c>
      <c r="C45" s="1" t="s">
        <v>37</v>
      </c>
      <c r="J45" s="36"/>
      <c r="K45" s="36"/>
      <c r="L45" s="36"/>
      <c r="M45" s="36"/>
      <c r="N45" s="36"/>
      <c r="O45" s="37"/>
      <c r="P45" s="54"/>
      <c r="Q45" s="34"/>
      <c r="R45" s="54"/>
      <c r="S45" s="35"/>
      <c r="T45" s="13" t="str">
        <f>IF(CEOS&gt;0,CEOS+CEO_B,"")</f>
        <v/>
      </c>
    </row>
    <row r="46" spans="2:21" ht="12.75" customHeight="1" x14ac:dyDescent="0.2">
      <c r="C46" s="1" t="s">
        <v>38</v>
      </c>
      <c r="J46" s="41"/>
      <c r="K46" s="41"/>
      <c r="L46" s="41"/>
      <c r="M46" s="38"/>
      <c r="N46" s="38"/>
      <c r="O46" s="39"/>
      <c r="P46" s="54"/>
      <c r="R46" s="54"/>
      <c r="T46" s="13" t="str">
        <f>IF(SMS&gt;0,SMS+SM_B,"")</f>
        <v/>
      </c>
    </row>
    <row r="47" spans="2:21" ht="12.75" customHeight="1" x14ac:dyDescent="0.2">
      <c r="C47" s="1" t="s">
        <v>39</v>
      </c>
      <c r="M47" s="41"/>
      <c r="N47" s="38"/>
      <c r="O47" s="39"/>
      <c r="P47" s="54"/>
      <c r="R47" s="54"/>
      <c r="T47" s="13" t="str">
        <f>IF(MANS&gt;0,MANS+MAN_B,"")</f>
        <v/>
      </c>
    </row>
    <row r="48" spans="2:21" ht="12.75" customHeight="1" x14ac:dyDescent="0.2">
      <c r="C48" s="1" t="s">
        <v>40</v>
      </c>
      <c r="K48" s="36"/>
      <c r="L48" s="36"/>
      <c r="M48" s="36"/>
      <c r="N48" s="38"/>
      <c r="O48" s="39"/>
      <c r="P48" s="54"/>
      <c r="R48" s="54"/>
      <c r="T48" s="13" t="str">
        <f>IF(ENGS&gt;0,ENGS+ENG_B,"")</f>
        <v/>
      </c>
    </row>
    <row r="49" spans="2:20" ht="12.75" customHeight="1" x14ac:dyDescent="0.2">
      <c r="C49" s="1" t="s">
        <v>58</v>
      </c>
      <c r="K49" s="41"/>
      <c r="L49" s="38"/>
      <c r="M49" s="38"/>
      <c r="N49" s="38"/>
      <c r="O49" s="39"/>
      <c r="P49" s="54"/>
      <c r="R49" s="54"/>
      <c r="T49" s="13" t="str">
        <f>IF(CFOS&gt;0,CFOS+CFO_B,"")</f>
        <v/>
      </c>
    </row>
    <row r="50" spans="2:20" ht="12.75" customHeight="1" x14ac:dyDescent="0.2">
      <c r="C50" s="1" t="s">
        <v>41</v>
      </c>
      <c r="E50" s="11"/>
      <c r="F50" s="11"/>
      <c r="G50" s="11"/>
      <c r="H50" s="11"/>
      <c r="I50" s="11"/>
      <c r="J50" s="11"/>
      <c r="K50" s="11"/>
      <c r="L50" s="43"/>
      <c r="M50" s="40"/>
      <c r="N50" s="40"/>
      <c r="O50" s="39"/>
      <c r="P50" s="54"/>
      <c r="R50" s="54"/>
      <c r="T50" s="13" t="str">
        <f>IF(ADMS&gt;0,ADMS+ADM_B,"")</f>
        <v/>
      </c>
    </row>
    <row r="51" spans="2:20" ht="12.75" customHeight="1" x14ac:dyDescent="0.2">
      <c r="C51" s="1" t="s">
        <v>42</v>
      </c>
      <c r="M51" s="38"/>
      <c r="N51" s="38"/>
      <c r="O51" s="39"/>
      <c r="P51" s="54"/>
      <c r="R51" s="54"/>
      <c r="T51" s="13" t="str">
        <f>IF(HRS&gt;0,HRS+HR_B,"")</f>
        <v/>
      </c>
    </row>
    <row r="52" spans="2:20" ht="12.75" customHeight="1" x14ac:dyDescent="0.2">
      <c r="C52" s="1" t="s">
        <v>43</v>
      </c>
      <c r="E52" s="11"/>
      <c r="F52" s="11"/>
      <c r="G52" s="11"/>
      <c r="H52" s="11"/>
      <c r="I52" s="42"/>
      <c r="J52" s="42"/>
      <c r="K52" s="42"/>
      <c r="L52" s="42"/>
      <c r="M52" s="40"/>
      <c r="N52" s="40"/>
      <c r="O52" s="39"/>
      <c r="P52" s="54"/>
      <c r="R52" s="54"/>
      <c r="T52" s="13" t="str">
        <f>IF(MISS&gt;0,MISS+MIS_B,"")</f>
        <v/>
      </c>
    </row>
    <row r="53" spans="2:20" ht="6" customHeight="1" x14ac:dyDescent="0.2">
      <c r="C53" s="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3"/>
      <c r="P53" s="13"/>
      <c r="R53" s="13"/>
      <c r="T53" s="13"/>
    </row>
    <row r="54" spans="2:20" ht="12.75" customHeight="1" x14ac:dyDescent="0.2">
      <c r="C54" s="1" t="s">
        <v>55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T54" s="13"/>
    </row>
    <row r="55" spans="2:20" ht="12.75" customHeight="1" x14ac:dyDescent="0.2">
      <c r="C55" s="32" t="s">
        <v>54</v>
      </c>
      <c r="T55" s="13"/>
    </row>
    <row r="56" spans="2:20" ht="6" customHeight="1" x14ac:dyDescent="0.2">
      <c r="C56" s="32"/>
      <c r="T56" s="13"/>
    </row>
    <row r="57" spans="2:20" ht="12.75" customHeight="1" x14ac:dyDescent="0.2">
      <c r="B57" s="48" t="s">
        <v>9</v>
      </c>
      <c r="C57" s="1" t="s">
        <v>44</v>
      </c>
      <c r="H57" s="36"/>
      <c r="I57" s="36"/>
      <c r="J57" s="36"/>
      <c r="K57" s="36"/>
      <c r="L57" s="36"/>
      <c r="M57" s="36"/>
      <c r="N57" s="36"/>
      <c r="O57" s="37"/>
      <c r="P57" s="54"/>
      <c r="R57" s="54"/>
      <c r="T57" s="13" t="str">
        <f>IF(GMS&gt;0,GMS+GM_B,"")</f>
        <v/>
      </c>
    </row>
    <row r="58" spans="2:20" ht="12.75" customHeight="1" x14ac:dyDescent="0.2">
      <c r="C58" s="1" t="s">
        <v>45</v>
      </c>
      <c r="G58" s="29" t="s">
        <v>59</v>
      </c>
      <c r="H58" s="41"/>
      <c r="I58" s="41"/>
      <c r="J58" s="41"/>
      <c r="K58" s="41"/>
      <c r="L58" s="38"/>
      <c r="M58" s="38"/>
      <c r="N58" s="38"/>
      <c r="O58" s="39"/>
      <c r="P58" s="54"/>
      <c r="R58" s="54"/>
      <c r="T58" s="13" t="str">
        <f>IF(CONS&gt;0,CONS+CON_B,"")</f>
        <v/>
      </c>
    </row>
    <row r="59" spans="2:20" ht="12.75" customHeight="1" x14ac:dyDescent="0.2">
      <c r="C59" s="1" t="s">
        <v>229</v>
      </c>
      <c r="G59" s="29"/>
      <c r="J59" s="36"/>
      <c r="K59" s="36"/>
      <c r="L59" s="38"/>
      <c r="M59" s="38"/>
      <c r="N59" s="38"/>
      <c r="O59" s="39"/>
      <c r="P59" s="54"/>
      <c r="R59" s="54"/>
      <c r="T59" s="13" t="str">
        <f>IF(PURS&gt;0,PURS+PUR_B,"")</f>
        <v/>
      </c>
    </row>
    <row r="60" spans="2:20" ht="12.75" customHeight="1" x14ac:dyDescent="0.2">
      <c r="C60" s="1" t="s">
        <v>46</v>
      </c>
      <c r="J60" s="41"/>
      <c r="K60" s="41"/>
      <c r="L60" s="38"/>
      <c r="M60" s="38"/>
      <c r="N60" s="38"/>
      <c r="O60" s="39"/>
      <c r="P60" s="54"/>
      <c r="R60" s="54"/>
      <c r="T60" s="13" t="str">
        <f>IF(SHOPS&gt;0,SHOPS+SHOP_B,"")</f>
        <v/>
      </c>
    </row>
    <row r="61" spans="2:20" ht="12.75" customHeight="1" x14ac:dyDescent="0.2">
      <c r="C61" s="1" t="s">
        <v>47</v>
      </c>
      <c r="I61" s="36"/>
      <c r="J61" s="36"/>
      <c r="K61" s="36"/>
      <c r="L61" s="38"/>
      <c r="M61" s="38"/>
      <c r="N61" s="38"/>
      <c r="O61" s="39"/>
      <c r="P61" s="54"/>
      <c r="R61" s="54"/>
      <c r="T61" s="13" t="str">
        <f>IF(FORES&gt;0,FORES+FORE_B,"")</f>
        <v/>
      </c>
    </row>
    <row r="62" spans="2:20" ht="12.75" customHeight="1" x14ac:dyDescent="0.2">
      <c r="C62" s="1" t="s">
        <v>48</v>
      </c>
      <c r="I62" s="41"/>
      <c r="J62" s="41"/>
      <c r="K62" s="38"/>
      <c r="L62" s="38"/>
      <c r="M62" s="38"/>
      <c r="N62" s="38"/>
      <c r="O62" s="39"/>
      <c r="P62" s="54"/>
      <c r="R62" s="54"/>
      <c r="T62" s="13" t="str">
        <f>IF(QCS&gt;0,QCS+QC_B,"")</f>
        <v/>
      </c>
    </row>
    <row r="63" spans="2:20" ht="12.75" customHeight="1" x14ac:dyDescent="0.2">
      <c r="C63" s="1" t="s">
        <v>49</v>
      </c>
      <c r="D63" s="1"/>
      <c r="H63" s="36"/>
      <c r="I63" s="36"/>
      <c r="J63" s="36"/>
      <c r="K63" s="38"/>
      <c r="L63" s="38"/>
      <c r="M63" s="38"/>
      <c r="N63" s="38"/>
      <c r="O63" s="39"/>
      <c r="P63" s="54"/>
      <c r="R63" s="54"/>
      <c r="T63" s="13" t="str">
        <f>IF(DESS&gt;0,DESS+DES_B,"")</f>
        <v/>
      </c>
    </row>
    <row r="64" spans="2:20" ht="12.75" customHeight="1" x14ac:dyDescent="0.2">
      <c r="C64" s="1" t="s">
        <v>50</v>
      </c>
      <c r="D64" s="1"/>
      <c r="H64" s="38"/>
      <c r="I64" s="38"/>
      <c r="J64" s="38"/>
      <c r="K64" s="38"/>
      <c r="L64" s="38"/>
      <c r="M64" s="38"/>
      <c r="N64" s="38"/>
      <c r="O64" s="39"/>
      <c r="P64" s="54"/>
      <c r="R64" s="54"/>
      <c r="T64" s="13" t="str">
        <f>IF(OMS&gt;0,OMS+OM_B,"")</f>
        <v/>
      </c>
    </row>
    <row r="65" spans="3:20" ht="12.75" customHeight="1" x14ac:dyDescent="0.2">
      <c r="C65" s="1" t="s">
        <v>51</v>
      </c>
      <c r="H65" s="38"/>
      <c r="I65" s="38"/>
      <c r="J65" s="38"/>
      <c r="K65" s="38"/>
      <c r="L65" s="38"/>
      <c r="M65" s="38"/>
      <c r="N65" s="38"/>
      <c r="O65" s="39"/>
      <c r="P65" s="54"/>
      <c r="R65" s="54"/>
      <c r="T65" s="13" t="str">
        <f>IF(SMANS&gt;0,SMANS+SMAN_B,"")</f>
        <v/>
      </c>
    </row>
    <row r="66" spans="3:20" ht="12.75" customHeight="1" x14ac:dyDescent="0.2">
      <c r="C66" s="1" t="s">
        <v>52</v>
      </c>
      <c r="H66" s="41"/>
      <c r="I66" s="41"/>
      <c r="J66" s="41"/>
      <c r="K66" s="38"/>
      <c r="L66" s="38"/>
      <c r="M66" s="38"/>
      <c r="N66" s="38"/>
      <c r="O66" s="39"/>
      <c r="P66" s="54"/>
      <c r="R66" s="54"/>
      <c r="T66" s="13" t="str">
        <f>IF(SLSS&gt;0,SLSS+SLS_B,"")</f>
        <v/>
      </c>
    </row>
    <row r="67" spans="3:20" ht="12.75" customHeight="1" x14ac:dyDescent="0.2">
      <c r="C67" s="1" t="s">
        <v>53</v>
      </c>
      <c r="D67" s="10"/>
      <c r="E67" s="10"/>
      <c r="F67" s="10"/>
      <c r="G67" s="10"/>
      <c r="H67" s="10"/>
      <c r="I67" s="10"/>
      <c r="J67" s="46"/>
      <c r="K67" s="44"/>
      <c r="L67" s="44"/>
      <c r="M67" s="44"/>
      <c r="N67" s="44"/>
      <c r="O67" s="45"/>
      <c r="P67" s="53"/>
      <c r="Q67" s="10"/>
      <c r="R67" s="54"/>
      <c r="S67" s="10"/>
      <c r="T67" s="13" t="str">
        <f>IF(ESTS&gt;0,ESTS+EST_B,"")</f>
        <v/>
      </c>
    </row>
    <row r="68" spans="3:20" ht="6" customHeight="1" x14ac:dyDescent="0.2"/>
    <row r="69" spans="3:20" x14ac:dyDescent="0.2">
      <c r="C69" s="10" t="s">
        <v>240</v>
      </c>
    </row>
    <row r="70" spans="3:20" x14ac:dyDescent="0.2">
      <c r="C70" s="10" t="s">
        <v>239</v>
      </c>
      <c r="O70" s="52" t="s">
        <v>56</v>
      </c>
    </row>
  </sheetData>
  <sheetProtection algorithmName="SHA-512" hashValue="hVq/zFLU0BpBMNH+HKhvnNNxAzhc87CNsDuC9ip5Xx8nETL0tZwtJjZpCdduddDwJb5ed9Q8N2QEB5N4ugq9nw==" saltValue="mCbljc9jzmAKLCJ5EtBKcQ==" spinCount="100000" sheet="1"/>
  <mergeCells count="13">
    <mergeCell ref="K3:N3"/>
    <mergeCell ref="P18:T18"/>
    <mergeCell ref="P21:T21"/>
    <mergeCell ref="P14:T14"/>
    <mergeCell ref="M10:R10"/>
    <mergeCell ref="P11:R11"/>
    <mergeCell ref="P22:T22"/>
    <mergeCell ref="P13:T13"/>
    <mergeCell ref="P15:T15"/>
    <mergeCell ref="P16:T16"/>
    <mergeCell ref="P17:T17"/>
    <mergeCell ref="P19:T19"/>
    <mergeCell ref="P20:T20"/>
  </mergeCells>
  <phoneticPr fontId="0" type="noConversion"/>
  <hyperlinks>
    <hyperlink ref="P11" r:id="rId1"/>
    <hyperlink ref="B10" r:id="rId2"/>
    <hyperlink ref="M10" r:id="rId3" display="john@mackayresearchgroup.com"/>
    <hyperlink ref="M10:R10" r:id="rId4" display="taylor@mackayresearchgroup.com"/>
    <hyperlink ref="O70" r:id="rId5"/>
  </hyperlinks>
  <pageMargins left="0.25" right="0.25" top="0.25" bottom="0.25" header="0.5" footer="0.5"/>
  <pageSetup orientation="portrait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showRowColHeaders="0" zoomScale="90" zoomScaleNormal="85" zoomScaleSheetLayoutView="85" workbookViewId="0"/>
  </sheetViews>
  <sheetFormatPr defaultColWidth="0" defaultRowHeight="12.75" x14ac:dyDescent="0.2"/>
  <cols>
    <col min="1" max="1" width="3.7109375" customWidth="1"/>
    <col min="2" max="6" width="10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</cols>
  <sheetData>
    <row r="1" spans="1:11" ht="18" customHeight="1" x14ac:dyDescent="0.25">
      <c r="A1" s="14"/>
      <c r="B1" s="14"/>
      <c r="C1" s="14"/>
      <c r="D1" s="14"/>
      <c r="E1" s="31" t="s">
        <v>11</v>
      </c>
      <c r="F1" s="14"/>
      <c r="G1" s="14"/>
      <c r="H1" s="14"/>
      <c r="I1" s="14"/>
      <c r="J1" s="14"/>
      <c r="K1" s="14"/>
    </row>
    <row r="2" spans="1:11" ht="18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B3" s="1" t="s">
        <v>20</v>
      </c>
    </row>
    <row r="4" spans="1:11" ht="12.75" customHeight="1" x14ac:dyDescent="0.2">
      <c r="B4" t="s">
        <v>23</v>
      </c>
    </row>
    <row r="5" spans="1:11" x14ac:dyDescent="0.2">
      <c r="B5" t="s">
        <v>22</v>
      </c>
    </row>
    <row r="6" spans="1:11" x14ac:dyDescent="0.2">
      <c r="B6" t="s">
        <v>12</v>
      </c>
    </row>
    <row r="8" spans="1:11" x14ac:dyDescent="0.2">
      <c r="B8" s="10" t="s">
        <v>10</v>
      </c>
    </row>
    <row r="10" spans="1:11" x14ac:dyDescent="0.2">
      <c r="A10" s="30" t="s">
        <v>6</v>
      </c>
      <c r="B10" s="1" t="s">
        <v>24</v>
      </c>
    </row>
    <row r="11" spans="1:11" x14ac:dyDescent="0.2">
      <c r="A11" s="30"/>
      <c r="B11" s="1" t="s">
        <v>31</v>
      </c>
    </row>
    <row r="12" spans="1:11" x14ac:dyDescent="0.2">
      <c r="A12" s="30"/>
      <c r="B12" s="1" t="s">
        <v>25</v>
      </c>
    </row>
    <row r="13" spans="1:11" x14ac:dyDescent="0.2">
      <c r="A13" s="30"/>
      <c r="B13" s="1" t="s">
        <v>26</v>
      </c>
    </row>
    <row r="14" spans="1:11" x14ac:dyDescent="0.2">
      <c r="A14" s="30"/>
    </row>
    <row r="15" spans="1:11" x14ac:dyDescent="0.2">
      <c r="A15" s="30" t="s">
        <v>7</v>
      </c>
      <c r="B15" s="1" t="s">
        <v>15</v>
      </c>
    </row>
    <row r="16" spans="1:11" x14ac:dyDescent="0.2">
      <c r="A16" s="30"/>
      <c r="B16" s="1" t="s">
        <v>62</v>
      </c>
    </row>
    <row r="17" spans="1:2" x14ac:dyDescent="0.2">
      <c r="A17" s="30"/>
      <c r="B17" s="1" t="s">
        <v>61</v>
      </c>
    </row>
    <row r="18" spans="1:2" x14ac:dyDescent="0.2">
      <c r="A18" s="30"/>
    </row>
    <row r="19" spans="1:2" x14ac:dyDescent="0.2">
      <c r="A19" s="30" t="s">
        <v>8</v>
      </c>
      <c r="B19" s="1" t="s">
        <v>13</v>
      </c>
    </row>
    <row r="20" spans="1:2" x14ac:dyDescent="0.2">
      <c r="A20" s="30"/>
      <c r="B20" s="1" t="s">
        <v>14</v>
      </c>
    </row>
    <row r="22" spans="1:2" x14ac:dyDescent="0.2">
      <c r="B22" s="1" t="s">
        <v>27</v>
      </c>
    </row>
    <row r="23" spans="1:2" x14ac:dyDescent="0.2">
      <c r="B23" s="1" t="s">
        <v>16</v>
      </c>
    </row>
    <row r="24" spans="1:2" x14ac:dyDescent="0.2">
      <c r="B24" s="1" t="s">
        <v>17</v>
      </c>
    </row>
    <row r="25" spans="1:2" x14ac:dyDescent="0.2">
      <c r="B25" s="1" t="s">
        <v>28</v>
      </c>
    </row>
    <row r="26" spans="1:2" x14ac:dyDescent="0.2">
      <c r="B26" s="1" t="s">
        <v>29</v>
      </c>
    </row>
  </sheetData>
  <sheetProtection password="D8DB" sheet="1" objects="1" scenarios="1" selectLockedCells="1"/>
  <phoneticPr fontId="0" type="noConversion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zoomScaleNormal="100" zoomScaleSheetLayoutView="75" workbookViewId="0">
      <selection activeCell="B1" sqref="B1"/>
    </sheetView>
  </sheetViews>
  <sheetFormatPr defaultRowHeight="15" x14ac:dyDescent="0.2"/>
  <cols>
    <col min="1" max="1" width="12.7109375" customWidth="1"/>
    <col min="2" max="2" width="14.28515625" customWidth="1"/>
    <col min="4" max="8" width="9.140625" style="19" customWidth="1"/>
    <col min="14" max="14" width="4.7109375" bestFit="1" customWidth="1"/>
    <col min="15" max="15" width="5.7109375" bestFit="1" customWidth="1"/>
    <col min="16" max="16" width="11.7109375" bestFit="1" customWidth="1"/>
  </cols>
  <sheetData>
    <row r="1" spans="1:16" ht="15.75" x14ac:dyDescent="0.25">
      <c r="A1" s="19" t="s">
        <v>68</v>
      </c>
      <c r="B1" s="21">
        <f>Yr</f>
        <v>2024</v>
      </c>
      <c r="C1" s="58" t="s">
        <v>225</v>
      </c>
      <c r="D1" s="57" t="s">
        <v>3</v>
      </c>
      <c r="E1" s="57" t="s">
        <v>244</v>
      </c>
      <c r="F1" s="57" t="s">
        <v>245</v>
      </c>
      <c r="G1" s="57" t="s">
        <v>246</v>
      </c>
      <c r="H1" s="57" t="s">
        <v>247</v>
      </c>
      <c r="I1" s="57" t="s">
        <v>248</v>
      </c>
      <c r="J1" s="57" t="s">
        <v>249</v>
      </c>
      <c r="K1" s="57" t="s">
        <v>69</v>
      </c>
      <c r="L1" s="57" t="s">
        <v>70</v>
      </c>
      <c r="M1" s="57" t="s">
        <v>65</v>
      </c>
      <c r="N1" s="57" t="s">
        <v>66</v>
      </c>
      <c r="O1" s="59" t="s">
        <v>250</v>
      </c>
      <c r="P1" s="57" t="s">
        <v>72</v>
      </c>
    </row>
    <row r="2" spans="1:16" ht="19.5" x14ac:dyDescent="0.4">
      <c r="A2" s="22" t="s">
        <v>225</v>
      </c>
      <c r="B2" s="56" t="str">
        <f>IF(ISBLANK(ID),"b",ID)</f>
        <v>b</v>
      </c>
      <c r="C2" s="49" t="str">
        <f>IF(ISBLANK(ID),"b",ID)</f>
        <v>b</v>
      </c>
      <c r="D2" s="1" t="str">
        <f>IF(ISBLANK(Name),"b",Name)</f>
        <v>b</v>
      </c>
      <c r="E2" s="1"/>
      <c r="F2" s="1"/>
      <c r="G2" s="1" t="str">
        <f>IF(ISBLANK(Person),"b",Person)</f>
        <v>b</v>
      </c>
      <c r="H2" s="1" t="str">
        <f>IF(ISBLANK(eaddr),"b",eaddr)</f>
        <v>b</v>
      </c>
      <c r="I2" s="1"/>
      <c r="J2" s="1"/>
      <c r="K2" s="1" t="str">
        <f>IF(ISBLANK(Addr1),"b",Addr1)</f>
        <v>b</v>
      </c>
      <c r="L2" s="1" t="str">
        <f>IF(ISBLANK(Addr2),"b",Addr2)</f>
        <v>b</v>
      </c>
      <c r="M2" s="1" t="str">
        <f>IF(ISBLANK(City),"b",City)</f>
        <v>b</v>
      </c>
      <c r="N2" s="1" t="str">
        <f>IF(ISBLANK(State),"b",State)</f>
        <v>b</v>
      </c>
      <c r="O2" s="60" t="str">
        <f>IF(ISBLANK(Zipcode),"b",Zipcode)</f>
        <v>b</v>
      </c>
      <c r="P2" s="61" t="str">
        <f>IF(ISBLANK(Phone),"b",Phone)</f>
        <v>b</v>
      </c>
    </row>
    <row r="3" spans="1:16" x14ac:dyDescent="0.2">
      <c r="A3" s="62" t="s">
        <v>63</v>
      </c>
      <c r="B3" s="62" t="s">
        <v>243</v>
      </c>
    </row>
    <row r="4" spans="1:16" x14ac:dyDescent="0.2">
      <c r="A4" s="62" t="s">
        <v>64</v>
      </c>
      <c r="B4" s="62" t="s">
        <v>243</v>
      </c>
    </row>
    <row r="5" spans="1:16" x14ac:dyDescent="0.2">
      <c r="A5" s="62" t="s">
        <v>3</v>
      </c>
      <c r="B5" s="62" t="s">
        <v>243</v>
      </c>
    </row>
    <row r="6" spans="1:16" x14ac:dyDescent="0.2">
      <c r="A6" s="62" t="s">
        <v>69</v>
      </c>
      <c r="B6" s="62" t="s">
        <v>243</v>
      </c>
    </row>
    <row r="7" spans="1:16" x14ac:dyDescent="0.2">
      <c r="A7" s="62" t="s">
        <v>70</v>
      </c>
      <c r="B7" s="62" t="s">
        <v>243</v>
      </c>
    </row>
    <row r="8" spans="1:16" x14ac:dyDescent="0.2">
      <c r="A8" s="62" t="s">
        <v>65</v>
      </c>
      <c r="B8" s="62" t="s">
        <v>243</v>
      </c>
    </row>
    <row r="9" spans="1:16" x14ac:dyDescent="0.2">
      <c r="A9" s="62" t="s">
        <v>66</v>
      </c>
      <c r="B9" s="62" t="s">
        <v>243</v>
      </c>
    </row>
    <row r="10" spans="1:16" x14ac:dyDescent="0.2">
      <c r="A10" s="19" t="s">
        <v>71</v>
      </c>
      <c r="B10" s="23" t="str">
        <f>IF(ISBLANK(Zipcode),"b",Zipcode)</f>
        <v>b</v>
      </c>
    </row>
    <row r="11" spans="1:16" ht="15.75" x14ac:dyDescent="0.25">
      <c r="A11" s="62" t="s">
        <v>72</v>
      </c>
      <c r="B11" s="63" t="s">
        <v>243</v>
      </c>
    </row>
    <row r="12" spans="1:16" x14ac:dyDescent="0.2">
      <c r="A12" s="62" t="s">
        <v>18</v>
      </c>
      <c r="B12" s="62" t="s">
        <v>243</v>
      </c>
    </row>
    <row r="13" spans="1:16" x14ac:dyDescent="0.2">
      <c r="A13" s="62" t="s">
        <v>73</v>
      </c>
      <c r="B13" s="62" t="s">
        <v>243</v>
      </c>
    </row>
    <row r="14" spans="1:16" x14ac:dyDescent="0.2">
      <c r="A14" s="62" t="s">
        <v>228</v>
      </c>
      <c r="B14" s="62">
        <f>IF(PDF=2,0,1)</f>
        <v>1</v>
      </c>
    </row>
    <row r="15" spans="1:16" x14ac:dyDescent="0.2">
      <c r="A15" s="62" t="s">
        <v>74</v>
      </c>
      <c r="B15" s="62" t="str">
        <f>IF(ISBLANK(Fiscal),"b",Fiscal)</f>
        <v>b</v>
      </c>
    </row>
    <row r="16" spans="1:16" x14ac:dyDescent="0.2">
      <c r="A16" s="62" t="s">
        <v>75</v>
      </c>
      <c r="B16" s="62" t="str">
        <f>IF(ISBLANK(Years),"b",Years)</f>
        <v>b</v>
      </c>
    </row>
    <row r="17" spans="1:4" x14ac:dyDescent="0.2">
      <c r="A17" s="62" t="s">
        <v>76</v>
      </c>
      <c r="B17" s="62" t="str">
        <f>IF(ISBLANK(Org),"b",Org)</f>
        <v>b</v>
      </c>
    </row>
    <row r="18" spans="1:4" x14ac:dyDescent="0.2">
      <c r="A18" s="62" t="s">
        <v>77</v>
      </c>
      <c r="B18" s="64" t="str">
        <f>IF(Emp&gt;0,Dremp,"b")</f>
        <v>b</v>
      </c>
      <c r="D18" s="26"/>
    </row>
    <row r="19" spans="1:4" x14ac:dyDescent="0.2">
      <c r="A19" s="62" t="s">
        <v>78</v>
      </c>
      <c r="B19" s="64" t="str">
        <f>IF(Emp&gt;0,Indemp,"b")</f>
        <v>b</v>
      </c>
      <c r="D19" s="26"/>
    </row>
    <row r="20" spans="1:4" x14ac:dyDescent="0.2">
      <c r="A20" s="62" t="s">
        <v>79</v>
      </c>
      <c r="B20" s="64" t="str">
        <f>IF(Emp&gt;0,Supremp,"b")</f>
        <v>b</v>
      </c>
      <c r="D20" s="26"/>
    </row>
    <row r="21" spans="1:4" x14ac:dyDescent="0.2">
      <c r="A21" s="62" t="s">
        <v>80</v>
      </c>
      <c r="B21" s="64" t="str">
        <f>IF(Emp&gt;0,Slsemp,"b")</f>
        <v>b</v>
      </c>
      <c r="D21" s="26"/>
    </row>
    <row r="22" spans="1:4" x14ac:dyDescent="0.2">
      <c r="A22" s="62" t="s">
        <v>81</v>
      </c>
      <c r="B22" s="64" t="str">
        <f>IF(Emp&gt;0,Exemp,"b")</f>
        <v>b</v>
      </c>
      <c r="D22" s="26"/>
    </row>
    <row r="23" spans="1:4" x14ac:dyDescent="0.2">
      <c r="A23" s="62" t="s">
        <v>82</v>
      </c>
      <c r="B23" s="64" t="str">
        <f>IF(Emp&gt;0,Oemp,"b")</f>
        <v>b</v>
      </c>
      <c r="D23" s="26"/>
    </row>
    <row r="24" spans="1:4" ht="15.75" x14ac:dyDescent="0.25">
      <c r="A24" s="65" t="s">
        <v>83</v>
      </c>
      <c r="B24" s="66" t="str">
        <f>IF(Emp&gt;0,Emp,"b")</f>
        <v>b</v>
      </c>
    </row>
    <row r="25" spans="1:4" x14ac:dyDescent="0.2">
      <c r="A25" s="62" t="s">
        <v>84</v>
      </c>
      <c r="B25" s="67" t="str">
        <f>IF(ISBLANK(GovtP),"b",GovtP)</f>
        <v>b</v>
      </c>
    </row>
    <row r="26" spans="1:4" x14ac:dyDescent="0.2">
      <c r="A26" s="62" t="s">
        <v>85</v>
      </c>
      <c r="B26" s="67" t="str">
        <f>IF(ISBLANK(GovtS),"b",GovtS)</f>
        <v>b</v>
      </c>
    </row>
    <row r="27" spans="1:4" x14ac:dyDescent="0.2">
      <c r="A27" s="19" t="s">
        <v>86</v>
      </c>
      <c r="B27" s="20" t="str">
        <f>IF(ISBLANK(Tls),"b",Tls)</f>
        <v>b</v>
      </c>
    </row>
    <row r="28" spans="1:4" x14ac:dyDescent="0.2">
      <c r="A28" s="19" t="s">
        <v>87</v>
      </c>
      <c r="B28" s="20" t="str">
        <f>IF(ISBLANK(Mlds),"b",Mlds)</f>
        <v>b</v>
      </c>
    </row>
    <row r="29" spans="1:4" x14ac:dyDescent="0.2">
      <c r="A29" s="19" t="s">
        <v>88</v>
      </c>
      <c r="B29" s="20" t="str">
        <f>IF(ISBLANK(GPM),"b",GPM)</f>
        <v>b</v>
      </c>
    </row>
    <row r="30" spans="1:4" x14ac:dyDescent="0.2">
      <c r="A30" s="19" t="s">
        <v>89</v>
      </c>
      <c r="B30" s="20" t="str">
        <f>IF(ISBLANK(AMF),"b",AMF)</f>
        <v>b</v>
      </c>
    </row>
    <row r="31" spans="1:4" x14ac:dyDescent="0.2">
      <c r="A31" s="19" t="s">
        <v>90</v>
      </c>
      <c r="B31" s="20" t="str">
        <f>IF(ISBLANK(SPC),"b",SPC)</f>
        <v>b</v>
      </c>
    </row>
    <row r="32" spans="1:4" x14ac:dyDescent="0.2">
      <c r="A32" s="19" t="s">
        <v>91</v>
      </c>
      <c r="B32" s="20" t="str">
        <f>IF(ISBLANK(Prodn),"b",Prodn)</f>
        <v>b</v>
      </c>
    </row>
    <row r="33" spans="1:4" x14ac:dyDescent="0.2">
      <c r="A33" s="19" t="s">
        <v>92</v>
      </c>
      <c r="B33" s="20" t="str">
        <f>IF(ISBLANK(Sheet),"b",Sheet)</f>
        <v>b</v>
      </c>
    </row>
    <row r="34" spans="1:4" x14ac:dyDescent="0.2">
      <c r="A34" s="19" t="s">
        <v>93</v>
      </c>
      <c r="B34" s="20" t="str">
        <f>IFERROR(IF(AND(Tls,Mlds,GPM,AMF,SPC,Prodn,Sheet)=0,100,Oind),"b")</f>
        <v>b</v>
      </c>
    </row>
    <row r="35" spans="1:4" ht="15.75" x14ac:dyDescent="0.25">
      <c r="A35" s="19" t="s">
        <v>261</v>
      </c>
      <c r="B35" s="24" t="str">
        <f>IF(ISBLANK(LOB),"b",LOB)</f>
        <v>b</v>
      </c>
      <c r="C35" s="21" t="s">
        <v>262</v>
      </c>
    </row>
    <row r="36" spans="1:4" x14ac:dyDescent="0.2">
      <c r="A36" s="62" t="s">
        <v>94</v>
      </c>
      <c r="B36" s="67" t="str">
        <f>IF(ISBLANK(Aero),"b",Aero)</f>
        <v>b</v>
      </c>
    </row>
    <row r="37" spans="1:4" x14ac:dyDescent="0.2">
      <c r="A37" s="62" t="s">
        <v>95</v>
      </c>
      <c r="B37" s="67" t="str">
        <f>IF(ISBLANK(Appl),"b",Appl)</f>
        <v>b</v>
      </c>
    </row>
    <row r="38" spans="1:4" x14ac:dyDescent="0.2">
      <c r="A38" s="62" t="s">
        <v>96</v>
      </c>
      <c r="B38" s="67" t="str">
        <f>IF(ISBLANK(Elect),"b",Elect)</f>
        <v>b</v>
      </c>
    </row>
    <row r="39" spans="1:4" x14ac:dyDescent="0.2">
      <c r="A39" s="62" t="s">
        <v>97</v>
      </c>
      <c r="B39" s="67" t="str">
        <f>IF(ISBLANK(Mine),"b",Mine)</f>
        <v>b</v>
      </c>
    </row>
    <row r="40" spans="1:4" x14ac:dyDescent="0.2">
      <c r="A40" s="62" t="s">
        <v>98</v>
      </c>
      <c r="B40" s="67" t="str">
        <f>IF(ISBLANK(Chem),"b",Chem)</f>
        <v>b</v>
      </c>
    </row>
    <row r="41" spans="1:4" x14ac:dyDescent="0.2">
      <c r="A41" s="62" t="s">
        <v>99</v>
      </c>
      <c r="B41" s="67" t="str">
        <f>IF(ISBLANK(FMP),"b",FMP)</f>
        <v>b</v>
      </c>
    </row>
    <row r="42" spans="1:4" x14ac:dyDescent="0.2">
      <c r="A42" s="62" t="s">
        <v>100</v>
      </c>
      <c r="B42" s="67" t="str">
        <f>IF(ISBLANK(Food),"b",Food)</f>
        <v>b</v>
      </c>
    </row>
    <row r="43" spans="1:4" x14ac:dyDescent="0.2">
      <c r="A43" s="62" t="s">
        <v>101</v>
      </c>
      <c r="B43" s="67">
        <f>IF(Ocust&lt;100,Ocust,"b")</f>
        <v>0</v>
      </c>
    </row>
    <row r="44" spans="1:4" x14ac:dyDescent="0.2">
      <c r="A44" s="62" t="s">
        <v>102</v>
      </c>
      <c r="B44" s="68" t="str">
        <f>IF(ISBLANK(Export),"b",Export)</f>
        <v>b</v>
      </c>
    </row>
    <row r="45" spans="1:4" ht="15.75" x14ac:dyDescent="0.25">
      <c r="A45" s="65" t="s">
        <v>103</v>
      </c>
      <c r="B45" s="69" t="str">
        <f>IF(ISBLANK(Prev),"b",Prev)</f>
        <v>b</v>
      </c>
    </row>
    <row r="46" spans="1:4" x14ac:dyDescent="0.2">
      <c r="A46" s="62" t="s">
        <v>104</v>
      </c>
      <c r="B46" s="68" t="str">
        <f>IF(ISBLANK(AAR),"b",AAR)</f>
        <v>b</v>
      </c>
    </row>
    <row r="47" spans="1:4" x14ac:dyDescent="0.2">
      <c r="A47" s="62" t="s">
        <v>105</v>
      </c>
      <c r="B47" s="68" t="str">
        <f>IF(ISBLANK(AVG),"b",AVG)</f>
        <v>b</v>
      </c>
    </row>
    <row r="48" spans="1:4" x14ac:dyDescent="0.2">
      <c r="A48" s="62" t="s">
        <v>106</v>
      </c>
      <c r="B48" s="70">
        <f>IF(OR(LIFO="y",LIFO="yes"),1,0)</f>
        <v>0</v>
      </c>
      <c r="D48" s="27"/>
    </row>
    <row r="49" spans="1:4" x14ac:dyDescent="0.2">
      <c r="A49" s="62" t="s">
        <v>107</v>
      </c>
      <c r="B49" s="71">
        <f>IF(ISBLANK(Add),0,(Add))</f>
        <v>0</v>
      </c>
      <c r="D49" s="28"/>
    </row>
    <row r="50" spans="1:4" x14ac:dyDescent="0.2">
      <c r="A50" s="62" t="s">
        <v>108</v>
      </c>
      <c r="B50" s="71">
        <f>IF(ISBLANK(End),0,(End))</f>
        <v>0</v>
      </c>
      <c r="D50" s="28"/>
    </row>
    <row r="51" spans="1:4" x14ac:dyDescent="0.2">
      <c r="A51" s="62" t="s">
        <v>111</v>
      </c>
      <c r="B51" s="68" t="str">
        <f>IF(ISBLANK(Cash),"b",Cash)</f>
        <v>b</v>
      </c>
    </row>
    <row r="52" spans="1:4" x14ac:dyDescent="0.2">
      <c r="A52" s="62" t="s">
        <v>112</v>
      </c>
      <c r="B52" s="68" t="str">
        <f>IF(ISBLANK(AR),"b",AR)</f>
        <v>b</v>
      </c>
    </row>
    <row r="53" spans="1:4" x14ac:dyDescent="0.2">
      <c r="A53" s="62" t="s">
        <v>113</v>
      </c>
      <c r="B53" s="68" t="str">
        <f>IF(ISBLANK(Inv),"b",Inv)</f>
        <v>b</v>
      </c>
    </row>
    <row r="54" spans="1:4" x14ac:dyDescent="0.2">
      <c r="A54" s="62" t="s">
        <v>114</v>
      </c>
      <c r="B54" s="71" t="str">
        <f>IF((CA&gt;0),(Oca),"b")</f>
        <v>b</v>
      </c>
    </row>
    <row r="55" spans="1:4" ht="15.75" x14ac:dyDescent="0.25">
      <c r="A55" s="65" t="s">
        <v>110</v>
      </c>
      <c r="B55" s="69" t="str">
        <f>IF(CA&lt;&gt;0,CA,"b")</f>
        <v>b</v>
      </c>
    </row>
    <row r="56" spans="1:4" x14ac:dyDescent="0.2">
      <c r="A56" s="62" t="s">
        <v>115</v>
      </c>
      <c r="B56" s="68" t="str">
        <f>IF(ISBLANK(GFA),"b",GFA)</f>
        <v>b</v>
      </c>
    </row>
    <row r="57" spans="1:4" x14ac:dyDescent="0.2">
      <c r="A57" s="62" t="s">
        <v>116</v>
      </c>
      <c r="B57" s="72" t="str">
        <f>IF(ISBLANK(Accdpr),"b",Accdpr)</f>
        <v>b</v>
      </c>
    </row>
    <row r="58" spans="1:4" x14ac:dyDescent="0.2">
      <c r="A58" s="62" t="s">
        <v>117</v>
      </c>
      <c r="B58" s="68" t="str">
        <f>IF(Fixed&lt;&gt;0,Fixed,"b")</f>
        <v>b</v>
      </c>
    </row>
    <row r="59" spans="1:4" x14ac:dyDescent="0.2">
      <c r="A59" s="62" t="s">
        <v>118</v>
      </c>
      <c r="B59" s="71" t="str">
        <f>IF((TA&gt;0),(OFA),"b")</f>
        <v>b</v>
      </c>
    </row>
    <row r="60" spans="1:4" ht="15.75" x14ac:dyDescent="0.25">
      <c r="A60" s="65" t="s">
        <v>109</v>
      </c>
      <c r="B60" s="69" t="str">
        <f>IF(TA&lt;&gt;0,TA,"b")</f>
        <v>b</v>
      </c>
    </row>
    <row r="61" spans="1:4" x14ac:dyDescent="0.2">
      <c r="A61" s="62" t="s">
        <v>120</v>
      </c>
      <c r="B61" s="68" t="str">
        <f>IF(ISBLANK(AP),"b",AP)</f>
        <v>b</v>
      </c>
    </row>
    <row r="62" spans="1:4" x14ac:dyDescent="0.2">
      <c r="A62" s="62" t="s">
        <v>121</v>
      </c>
      <c r="B62" s="68" t="str">
        <f>IF(ISBLANK(NP),"b",NP)</f>
        <v>b</v>
      </c>
    </row>
    <row r="63" spans="1:4" x14ac:dyDescent="0.2">
      <c r="A63" s="62" t="s">
        <v>122</v>
      </c>
      <c r="B63" s="71" t="str">
        <f>IF((CL&gt;0),(Ocl),"b")</f>
        <v>b</v>
      </c>
    </row>
    <row r="64" spans="1:4" ht="15.75" x14ac:dyDescent="0.25">
      <c r="A64" s="65" t="s">
        <v>119</v>
      </c>
      <c r="B64" s="69" t="str">
        <f>IF(CL&gt;0,CL,"b")</f>
        <v>b</v>
      </c>
    </row>
    <row r="65" spans="1:2" x14ac:dyDescent="0.2">
      <c r="A65" s="62" t="s">
        <v>123</v>
      </c>
      <c r="B65" s="68" t="str">
        <f>IF(ISBLANK(LTL),"b",LTL)</f>
        <v>b</v>
      </c>
    </row>
    <row r="66" spans="1:2" x14ac:dyDescent="0.2">
      <c r="A66" s="62" t="s">
        <v>124</v>
      </c>
      <c r="B66" s="71">
        <f>IF(ISBLANK(Loan),0,(Loan))</f>
        <v>0</v>
      </c>
    </row>
    <row r="67" spans="1:2" x14ac:dyDescent="0.2">
      <c r="A67" s="62" t="s">
        <v>125</v>
      </c>
      <c r="B67" s="68" t="str">
        <f>IF(Eqty&lt;&gt;0,Eqty,"b")</f>
        <v>b</v>
      </c>
    </row>
    <row r="68" spans="1:2" ht="15.75" x14ac:dyDescent="0.25">
      <c r="A68" s="65" t="s">
        <v>126</v>
      </c>
      <c r="B68" s="69" t="str">
        <f>IF(Liab&lt;&gt;0,Liab,"b")</f>
        <v>b</v>
      </c>
    </row>
    <row r="69" spans="1:2" ht="15.75" x14ac:dyDescent="0.25">
      <c r="A69" s="21" t="s">
        <v>127</v>
      </c>
      <c r="B69" s="25" t="str">
        <f>IF(ISBLANK(NS),"b",NS)</f>
        <v>b</v>
      </c>
    </row>
    <row r="70" spans="1:2" x14ac:dyDescent="0.2">
      <c r="A70" s="62" t="s">
        <v>128</v>
      </c>
      <c r="B70" s="68" t="str">
        <f>IF(ISBLANK(Binv),"b",Binv)</f>
        <v>b</v>
      </c>
    </row>
    <row r="71" spans="1:2" x14ac:dyDescent="0.2">
      <c r="A71" s="62" t="s">
        <v>129</v>
      </c>
      <c r="B71" s="68" t="str">
        <f>IF(ISBLANK(Mat),"b",Mat)</f>
        <v>b</v>
      </c>
    </row>
    <row r="72" spans="1:2" x14ac:dyDescent="0.2">
      <c r="A72" s="62" t="s">
        <v>130</v>
      </c>
      <c r="B72" s="68" t="str">
        <f>IF(ISBLANK(Sub),"b",Sub)</f>
        <v>b</v>
      </c>
    </row>
    <row r="73" spans="1:2" x14ac:dyDescent="0.2">
      <c r="A73" s="62" t="s">
        <v>131</v>
      </c>
      <c r="B73" s="68" t="str">
        <f>IF(ISBLANK(Lab),"b",Lab)</f>
        <v>b</v>
      </c>
    </row>
    <row r="74" spans="1:2" x14ac:dyDescent="0.2">
      <c r="A74" s="62" t="s">
        <v>132</v>
      </c>
      <c r="B74" s="68" t="str">
        <f>IF(ISBLANK(OT),"b",OT)</f>
        <v>b</v>
      </c>
    </row>
    <row r="75" spans="1:2" x14ac:dyDescent="0.2">
      <c r="A75" s="62" t="s">
        <v>133</v>
      </c>
      <c r="B75" s="68" t="str">
        <f>IF(Dlab&gt;0,Dlab,"b")</f>
        <v>b</v>
      </c>
    </row>
    <row r="76" spans="1:2" x14ac:dyDescent="0.2">
      <c r="A76" s="62" t="s">
        <v>134</v>
      </c>
      <c r="B76" s="68" t="str">
        <f>IF(ISBLANK(RM),"b",RM)</f>
        <v>b</v>
      </c>
    </row>
    <row r="77" spans="1:2" x14ac:dyDescent="0.2">
      <c r="A77" s="62" t="s">
        <v>135</v>
      </c>
      <c r="B77" s="68" t="str">
        <f>IF(ISBLANK(Ilab),"b",Ilab)</f>
        <v>b</v>
      </c>
    </row>
    <row r="78" spans="1:2" x14ac:dyDescent="0.2">
      <c r="A78" s="62" t="s">
        <v>136</v>
      </c>
      <c r="B78" s="68" t="str">
        <f>IF(ISBLANK(SUPR),"b",SUPR)</f>
        <v>b</v>
      </c>
    </row>
    <row r="79" spans="1:2" x14ac:dyDescent="0.2">
      <c r="A79" s="62" t="s">
        <v>137</v>
      </c>
      <c r="B79" s="68" t="str">
        <f>IF(ISBLANK(Burden),"b",Burden)</f>
        <v>b</v>
      </c>
    </row>
    <row r="80" spans="1:2" x14ac:dyDescent="0.2">
      <c r="A80" s="62" t="s">
        <v>138</v>
      </c>
      <c r="B80" s="68" t="str">
        <f>IF(ISBLANK(Wel),"b",Wel)</f>
        <v>b</v>
      </c>
    </row>
    <row r="81" spans="1:2" x14ac:dyDescent="0.2">
      <c r="A81" s="62" t="s">
        <v>139</v>
      </c>
      <c r="B81" s="68" t="str">
        <f>IF(ISBLANK(Supp),"b",Supp)</f>
        <v>b</v>
      </c>
    </row>
    <row r="82" spans="1:2" x14ac:dyDescent="0.2">
      <c r="A82" s="62" t="s">
        <v>140</v>
      </c>
      <c r="B82" s="68" t="str">
        <f>IF(ISBLANK(UT),"b",UT)</f>
        <v>b</v>
      </c>
    </row>
    <row r="83" spans="1:2" x14ac:dyDescent="0.2">
      <c r="A83" s="62" t="s">
        <v>141</v>
      </c>
      <c r="B83" s="68" t="str">
        <f>IF(ISBLANK(Rent),"b",Rent)</f>
        <v>b</v>
      </c>
    </row>
    <row r="84" spans="1:2" x14ac:dyDescent="0.2">
      <c r="A84" s="62" t="s">
        <v>142</v>
      </c>
      <c r="B84" s="68" t="str">
        <f>IF(ISBLANK(Equip),"b",Equip)</f>
        <v>b</v>
      </c>
    </row>
    <row r="85" spans="1:2" x14ac:dyDescent="0.2">
      <c r="A85" s="62" t="s">
        <v>143</v>
      </c>
      <c r="B85" s="68" t="str">
        <f>IF(ISBLANK(Ins),"b",Ins)</f>
        <v>b</v>
      </c>
    </row>
    <row r="86" spans="1:2" x14ac:dyDescent="0.2">
      <c r="A86" s="62" t="s">
        <v>144</v>
      </c>
      <c r="B86" s="68" t="str">
        <f>IF(ISBLANK(Taxes),"b",Taxes)</f>
        <v>b</v>
      </c>
    </row>
    <row r="87" spans="1:2" x14ac:dyDescent="0.2">
      <c r="A87" s="62" t="s">
        <v>145</v>
      </c>
      <c r="B87" s="68" t="str">
        <f>IF(ISBLANK(DPR),"b",DPR)</f>
        <v>b</v>
      </c>
    </row>
    <row r="88" spans="1:2" x14ac:dyDescent="0.2">
      <c r="A88" s="62" t="s">
        <v>146</v>
      </c>
      <c r="B88" s="71" t="str">
        <f>IF((COGS&gt;0),(Omfr),"b")</f>
        <v>b</v>
      </c>
    </row>
    <row r="89" spans="1:2" x14ac:dyDescent="0.2">
      <c r="A89" s="62" t="s">
        <v>147</v>
      </c>
      <c r="B89" s="68" t="str">
        <f>IF(ISBLANK(Einv),"b",Einv)</f>
        <v>b</v>
      </c>
    </row>
    <row r="90" spans="1:2" x14ac:dyDescent="0.2">
      <c r="A90" s="62" t="s">
        <v>148</v>
      </c>
      <c r="B90" s="68" t="str">
        <f>IF(ISBLANK(Diff),"b",Diff)</f>
        <v>b</v>
      </c>
    </row>
    <row r="91" spans="1:2" ht="15.75" x14ac:dyDescent="0.25">
      <c r="A91" s="65" t="s">
        <v>149</v>
      </c>
      <c r="B91" s="69" t="str">
        <f>IF(COGS&lt;&gt;0,COGS,"b")</f>
        <v>b</v>
      </c>
    </row>
    <row r="92" spans="1:2" ht="15.75" x14ac:dyDescent="0.25">
      <c r="A92" s="65" t="s">
        <v>150</v>
      </c>
      <c r="B92" s="71" t="str">
        <f>IF(AND(NS&gt;0,COGS&gt;0),GP,"b")</f>
        <v>b</v>
      </c>
    </row>
    <row r="93" spans="1:2" x14ac:dyDescent="0.2">
      <c r="A93" s="62" t="s">
        <v>151</v>
      </c>
      <c r="B93" s="68" t="str">
        <f>IF(ISBLANK(Exec),"b",Exec)</f>
        <v>b</v>
      </c>
    </row>
    <row r="94" spans="1:2" x14ac:dyDescent="0.2">
      <c r="A94" s="62" t="s">
        <v>152</v>
      </c>
      <c r="B94" s="68" t="str">
        <f>IF(ISBLANK(Admin),"b",Admin)</f>
        <v>b</v>
      </c>
    </row>
    <row r="95" spans="1:2" x14ac:dyDescent="0.2">
      <c r="A95" s="62" t="s">
        <v>153</v>
      </c>
      <c r="B95" s="68" t="str">
        <f>IF(ISBLANK(Sls),"b",Sls)</f>
        <v>b</v>
      </c>
    </row>
    <row r="96" spans="1:2" x14ac:dyDescent="0.2">
      <c r="A96" s="62" t="s">
        <v>154</v>
      </c>
      <c r="B96" s="68" t="str">
        <f>IF(ISBLANK(Gabur),"b",Gabur)</f>
        <v>b</v>
      </c>
    </row>
    <row r="97" spans="1:2" x14ac:dyDescent="0.2">
      <c r="A97" s="62" t="s">
        <v>155</v>
      </c>
      <c r="B97" s="68" t="str">
        <f>IF(ISBLANK(Gawel),"b",Gawel)</f>
        <v>b</v>
      </c>
    </row>
    <row r="98" spans="1:2" x14ac:dyDescent="0.2">
      <c r="A98" s="62" t="s">
        <v>156</v>
      </c>
      <c r="B98" s="68" t="str">
        <f>IF(PA&gt;0,PA,"b")</f>
        <v>b</v>
      </c>
    </row>
    <row r="99" spans="1:2" x14ac:dyDescent="0.2">
      <c r="A99" s="62" t="s">
        <v>157</v>
      </c>
      <c r="B99" s="68" t="str">
        <f>IF(ISBLANK(AD),"b",AD)</f>
        <v>b</v>
      </c>
    </row>
    <row r="100" spans="1:2" x14ac:dyDescent="0.2">
      <c r="A100" s="62" t="s">
        <v>158</v>
      </c>
      <c r="B100" s="68" t="str">
        <f>IF(ISBLANK(TRV),"b",TRV)</f>
        <v>b</v>
      </c>
    </row>
    <row r="101" spans="1:2" x14ac:dyDescent="0.2">
      <c r="A101" s="62" t="s">
        <v>159</v>
      </c>
      <c r="B101" s="68" t="str">
        <f>IF(ISBLANK(Osell),"b",Osell)</f>
        <v>b</v>
      </c>
    </row>
    <row r="102" spans="1:2" x14ac:dyDescent="0.2">
      <c r="A102" s="62" t="s">
        <v>160</v>
      </c>
      <c r="B102" s="68" t="str">
        <f>IF(ISBLANK(BD),"b",BD)</f>
        <v>b</v>
      </c>
    </row>
    <row r="103" spans="1:2" x14ac:dyDescent="0.2">
      <c r="A103" s="62" t="s">
        <v>161</v>
      </c>
      <c r="B103" s="71" t="str">
        <f>IF((TE&gt;0),(OE),"b")</f>
        <v>b</v>
      </c>
    </row>
    <row r="104" spans="1:2" ht="15.75" x14ac:dyDescent="0.25">
      <c r="A104" s="62" t="s">
        <v>162</v>
      </c>
      <c r="B104" s="69" t="str">
        <f>IF(TOE&lt;&gt;0,TOE,"b")</f>
        <v>b</v>
      </c>
    </row>
    <row r="105" spans="1:2" ht="15.75" x14ac:dyDescent="0.25">
      <c r="A105" s="65" t="s">
        <v>163</v>
      </c>
      <c r="B105" s="69" t="str">
        <f>IF(TE&lt;&gt;0,TE,"b")</f>
        <v>b</v>
      </c>
    </row>
    <row r="106" spans="1:2" ht="15.75" x14ac:dyDescent="0.25">
      <c r="A106" s="65" t="s">
        <v>164</v>
      </c>
      <c r="B106" s="71" t="str">
        <f>IF(AND(GP&lt;&gt;0,TE&gt;0),OP,"b")</f>
        <v>b</v>
      </c>
    </row>
    <row r="107" spans="1:2" x14ac:dyDescent="0.2">
      <c r="A107" s="62" t="s">
        <v>165</v>
      </c>
      <c r="B107" s="68" t="str">
        <f>IF(ISBLANK(OI),"b",OI)</f>
        <v>b</v>
      </c>
    </row>
    <row r="108" spans="1:2" x14ac:dyDescent="0.2">
      <c r="A108" s="62" t="s">
        <v>166</v>
      </c>
      <c r="B108" s="68" t="str">
        <f>IF(ISBLANK(Int),"b",Int)</f>
        <v>b</v>
      </c>
    </row>
    <row r="109" spans="1:2" x14ac:dyDescent="0.2">
      <c r="A109" s="62" t="s">
        <v>167</v>
      </c>
      <c r="B109" s="68" t="str">
        <f>IF(ISBLANK(Oex),"b",Oex)</f>
        <v>b</v>
      </c>
    </row>
    <row r="110" spans="1:2" ht="15.75" x14ac:dyDescent="0.25">
      <c r="A110" s="65" t="s">
        <v>168</v>
      </c>
      <c r="B110" s="73" t="str">
        <f>IF((OP&lt;&gt;0),PBT,"b")</f>
        <v>b</v>
      </c>
    </row>
    <row r="111" spans="1:2" ht="15.75" x14ac:dyDescent="0.25">
      <c r="A111" s="62" t="s">
        <v>169</v>
      </c>
      <c r="B111" s="73" t="str">
        <f>IF(ISBLANK(Tax),"b",(Tax))</f>
        <v>b</v>
      </c>
    </row>
    <row r="112" spans="1:2" ht="15.75" x14ac:dyDescent="0.25">
      <c r="A112" s="65" t="s">
        <v>170</v>
      </c>
      <c r="B112" s="69" t="str">
        <f>IF(AND(Net&lt;&gt;0,Net&lt;&gt;PBT),Net,"b")</f>
        <v>b</v>
      </c>
    </row>
    <row r="113" spans="1:2" x14ac:dyDescent="0.2">
      <c r="A113" s="19" t="s">
        <v>171</v>
      </c>
      <c r="B113" s="24" t="str">
        <f>IF(ISBLANK(CEOS),"b",CEOS)</f>
        <v>b</v>
      </c>
    </row>
    <row r="114" spans="1:2" x14ac:dyDescent="0.2">
      <c r="A114" s="19" t="s">
        <v>172</v>
      </c>
      <c r="B114" s="24" t="str">
        <f>IF(ISBLANK(CEO_B),"b",CEO_B)</f>
        <v>b</v>
      </c>
    </row>
    <row r="115" spans="1:2" x14ac:dyDescent="0.2">
      <c r="A115" s="19" t="s">
        <v>173</v>
      </c>
      <c r="B115" s="24" t="str">
        <f>IF(CEOT="","b",CEOT)</f>
        <v>b</v>
      </c>
    </row>
    <row r="116" spans="1:2" x14ac:dyDescent="0.2">
      <c r="A116" s="19" t="s">
        <v>174</v>
      </c>
      <c r="B116" s="24" t="str">
        <f>IF(ISBLANK(SMS),"b",SMS)</f>
        <v>b</v>
      </c>
    </row>
    <row r="117" spans="1:2" x14ac:dyDescent="0.2">
      <c r="A117" s="19" t="s">
        <v>175</v>
      </c>
      <c r="B117" s="24" t="str">
        <f>IF(ISBLANK(SM_B),"b",SM_B)</f>
        <v>b</v>
      </c>
    </row>
    <row r="118" spans="1:2" x14ac:dyDescent="0.2">
      <c r="A118" s="19" t="s">
        <v>176</v>
      </c>
      <c r="B118" s="24" t="str">
        <f>IF(SMT="","b",SMT)</f>
        <v>b</v>
      </c>
    </row>
    <row r="119" spans="1:2" x14ac:dyDescent="0.2">
      <c r="A119" s="19" t="s">
        <v>177</v>
      </c>
      <c r="B119" s="24" t="str">
        <f>IF(ISBLANK(MANS),"b",MANS)</f>
        <v>b</v>
      </c>
    </row>
    <row r="120" spans="1:2" x14ac:dyDescent="0.2">
      <c r="A120" s="19" t="s">
        <v>178</v>
      </c>
      <c r="B120" s="24" t="str">
        <f>IF(ISBLANK(MAN_B),"b",MAN_B)</f>
        <v>b</v>
      </c>
    </row>
    <row r="121" spans="1:2" x14ac:dyDescent="0.2">
      <c r="A121" s="19" t="s">
        <v>179</v>
      </c>
      <c r="B121" s="24" t="str">
        <f>IF(MANT="","b",MANT)</f>
        <v>b</v>
      </c>
    </row>
    <row r="122" spans="1:2" x14ac:dyDescent="0.2">
      <c r="A122" s="19" t="s">
        <v>180</v>
      </c>
      <c r="B122" s="24" t="str">
        <f>IF(ISBLANK(ENGS),"b",ENGS)</f>
        <v>b</v>
      </c>
    </row>
    <row r="123" spans="1:2" x14ac:dyDescent="0.2">
      <c r="A123" s="19" t="s">
        <v>181</v>
      </c>
      <c r="B123" s="24" t="str">
        <f>IF(ISBLANK(ENG_B),"b",ENG_B)</f>
        <v>b</v>
      </c>
    </row>
    <row r="124" spans="1:2" x14ac:dyDescent="0.2">
      <c r="A124" s="19" t="s">
        <v>182</v>
      </c>
      <c r="B124" s="24" t="str">
        <f>IF(ENGT="","b",ENGT)</f>
        <v>b</v>
      </c>
    </row>
    <row r="125" spans="1:2" x14ac:dyDescent="0.2">
      <c r="A125" s="19" t="s">
        <v>183</v>
      </c>
      <c r="B125" s="24" t="str">
        <f>IF(ISBLANK(CFOS),"b",CFOS)</f>
        <v>b</v>
      </c>
    </row>
    <row r="126" spans="1:2" x14ac:dyDescent="0.2">
      <c r="A126" s="19" t="s">
        <v>184</v>
      </c>
      <c r="B126" s="24" t="str">
        <f>IF(ISBLANK(CFO_B),"b",CFO_B)</f>
        <v>b</v>
      </c>
    </row>
    <row r="127" spans="1:2" x14ac:dyDescent="0.2">
      <c r="A127" s="19" t="s">
        <v>185</v>
      </c>
      <c r="B127" s="24" t="str">
        <f>IF(CFOT="","b",CFOT)</f>
        <v>b</v>
      </c>
    </row>
    <row r="128" spans="1:2" x14ac:dyDescent="0.2">
      <c r="A128" s="19" t="s">
        <v>186</v>
      </c>
      <c r="B128" s="24" t="str">
        <f>IF(ISBLANK(ADMS),"b",ADMS)</f>
        <v>b</v>
      </c>
    </row>
    <row r="129" spans="1:2" x14ac:dyDescent="0.2">
      <c r="A129" s="19" t="s">
        <v>187</v>
      </c>
      <c r="B129" s="24" t="str">
        <f>IF(ISBLANK(ADM_B),"b",ADM_B)</f>
        <v>b</v>
      </c>
    </row>
    <row r="130" spans="1:2" x14ac:dyDescent="0.2">
      <c r="A130" s="19" t="s">
        <v>188</v>
      </c>
      <c r="B130" s="24" t="str">
        <f>IF(ADMT="","b",ADMT)</f>
        <v>b</v>
      </c>
    </row>
    <row r="131" spans="1:2" x14ac:dyDescent="0.2">
      <c r="A131" s="19" t="s">
        <v>189</v>
      </c>
      <c r="B131" s="24" t="str">
        <f>IF(ISBLANK(HRS),"b",HRS)</f>
        <v>b</v>
      </c>
    </row>
    <row r="132" spans="1:2" x14ac:dyDescent="0.2">
      <c r="A132" s="19" t="s">
        <v>190</v>
      </c>
      <c r="B132" s="24" t="str">
        <f>IF(ISBLANK(HR_B),"b",HR_B)</f>
        <v>b</v>
      </c>
    </row>
    <row r="133" spans="1:2" x14ac:dyDescent="0.2">
      <c r="A133" s="19" t="s">
        <v>191</v>
      </c>
      <c r="B133" s="24" t="str">
        <f>IF(HRT="","b",HRT)</f>
        <v>b</v>
      </c>
    </row>
    <row r="134" spans="1:2" x14ac:dyDescent="0.2">
      <c r="A134" s="19" t="s">
        <v>192</v>
      </c>
      <c r="B134" s="24" t="str">
        <f>IF(ISBLANK(MISS),"b",MISS)</f>
        <v>b</v>
      </c>
    </row>
    <row r="135" spans="1:2" x14ac:dyDescent="0.2">
      <c r="A135" s="19" t="s">
        <v>193</v>
      </c>
      <c r="B135" s="24" t="str">
        <f>IF(ISBLANK(MIS_B),"b",MIS_B)</f>
        <v>b</v>
      </c>
    </row>
    <row r="136" spans="1:2" x14ac:dyDescent="0.2">
      <c r="A136" s="19" t="s">
        <v>194</v>
      </c>
      <c r="B136" s="24" t="str">
        <f>IF(MIST="","b",MIST)</f>
        <v>b</v>
      </c>
    </row>
    <row r="137" spans="1:2" x14ac:dyDescent="0.2">
      <c r="A137" s="19" t="s">
        <v>195</v>
      </c>
      <c r="B137" s="24" t="str">
        <f>IF(ISBLANK(GMS),"b",GMS)</f>
        <v>b</v>
      </c>
    </row>
    <row r="138" spans="1:2" x14ac:dyDescent="0.2">
      <c r="A138" s="19" t="s">
        <v>196</v>
      </c>
      <c r="B138" s="24" t="str">
        <f>IF(ISBLANK(GM_B),"b",GM_B)</f>
        <v>b</v>
      </c>
    </row>
    <row r="139" spans="1:2" x14ac:dyDescent="0.2">
      <c r="A139" s="19" t="s">
        <v>197</v>
      </c>
      <c r="B139" s="24" t="str">
        <f>IF(GMT="","b",GMT)</f>
        <v>b</v>
      </c>
    </row>
    <row r="140" spans="1:2" x14ac:dyDescent="0.2">
      <c r="A140" s="19" t="s">
        <v>198</v>
      </c>
      <c r="B140" s="24" t="str">
        <f>IF(ISBLANK(CONS),"b",CONS)</f>
        <v>b</v>
      </c>
    </row>
    <row r="141" spans="1:2" x14ac:dyDescent="0.2">
      <c r="A141" s="19" t="s">
        <v>199</v>
      </c>
      <c r="B141" s="24" t="str">
        <f>IF(ISBLANK(CON_B),"b",CON_B)</f>
        <v>b</v>
      </c>
    </row>
    <row r="142" spans="1:2" x14ac:dyDescent="0.2">
      <c r="A142" s="19" t="s">
        <v>200</v>
      </c>
      <c r="B142" s="24" t="str">
        <f>IF(CONT="","b",CONT)</f>
        <v>b</v>
      </c>
    </row>
    <row r="143" spans="1:2" x14ac:dyDescent="0.2">
      <c r="A143" s="19" t="s">
        <v>230</v>
      </c>
      <c r="B143" s="24" t="str">
        <f>IF(ISBLANK(PURS),"b",PURS)</f>
        <v>b</v>
      </c>
    </row>
    <row r="144" spans="1:2" x14ac:dyDescent="0.2">
      <c r="A144" s="19" t="s">
        <v>231</v>
      </c>
      <c r="B144" s="24" t="str">
        <f>IF(ISBLANK(PUR_B),"b",PUR_B)</f>
        <v>b</v>
      </c>
    </row>
    <row r="145" spans="1:2" x14ac:dyDescent="0.2">
      <c r="A145" s="19" t="s">
        <v>232</v>
      </c>
      <c r="B145" s="24" t="str">
        <f>IF(PURT="","b",PURT)</f>
        <v>b</v>
      </c>
    </row>
    <row r="146" spans="1:2" x14ac:dyDescent="0.2">
      <c r="A146" s="19" t="s">
        <v>201</v>
      </c>
      <c r="B146" s="24" t="str">
        <f>IF(ISBLANK(SHOPS),"b",SHOPS)</f>
        <v>b</v>
      </c>
    </row>
    <row r="147" spans="1:2" x14ac:dyDescent="0.2">
      <c r="A147" s="19" t="s">
        <v>202</v>
      </c>
      <c r="B147" s="24" t="str">
        <f>IF(ISBLANK(SHOP_B),"b",SHOP_B)</f>
        <v>b</v>
      </c>
    </row>
    <row r="148" spans="1:2" x14ac:dyDescent="0.2">
      <c r="A148" s="19" t="s">
        <v>203</v>
      </c>
      <c r="B148" s="24" t="str">
        <f>IF(SHOPT="","b",SHOPT)</f>
        <v>b</v>
      </c>
    </row>
    <row r="149" spans="1:2" x14ac:dyDescent="0.2">
      <c r="A149" s="19" t="s">
        <v>204</v>
      </c>
      <c r="B149" s="24" t="str">
        <f>IF(ISBLANK(FORES),"b",FORES)</f>
        <v>b</v>
      </c>
    </row>
    <row r="150" spans="1:2" x14ac:dyDescent="0.2">
      <c r="A150" s="19" t="s">
        <v>205</v>
      </c>
      <c r="B150" s="24" t="str">
        <f>IF(ISBLANK(FORE_B),"b",FORE_B)</f>
        <v>b</v>
      </c>
    </row>
    <row r="151" spans="1:2" x14ac:dyDescent="0.2">
      <c r="A151" s="19" t="s">
        <v>206</v>
      </c>
      <c r="B151" s="24" t="str">
        <f>IF(FORET="","b",FORET)</f>
        <v>b</v>
      </c>
    </row>
    <row r="152" spans="1:2" x14ac:dyDescent="0.2">
      <c r="A152" s="19" t="s">
        <v>207</v>
      </c>
      <c r="B152" s="24" t="str">
        <f>IF(ISBLANK(QCS),"b",QCS)</f>
        <v>b</v>
      </c>
    </row>
    <row r="153" spans="1:2" x14ac:dyDescent="0.2">
      <c r="A153" s="19" t="s">
        <v>208</v>
      </c>
      <c r="B153" s="24" t="str">
        <f>IF(ISBLANK(QC_B),"b",QC_B)</f>
        <v>b</v>
      </c>
    </row>
    <row r="154" spans="1:2" x14ac:dyDescent="0.2">
      <c r="A154" s="19" t="s">
        <v>209</v>
      </c>
      <c r="B154" s="24" t="str">
        <f>IF(QCT="","b",QCT)</f>
        <v>b</v>
      </c>
    </row>
    <row r="155" spans="1:2" x14ac:dyDescent="0.2">
      <c r="A155" s="19" t="s">
        <v>210</v>
      </c>
      <c r="B155" s="24" t="str">
        <f>IF(ISBLANK(DESS),"b",DESS)</f>
        <v>b</v>
      </c>
    </row>
    <row r="156" spans="1:2" x14ac:dyDescent="0.2">
      <c r="A156" s="19" t="s">
        <v>211</v>
      </c>
      <c r="B156" s="24" t="str">
        <f>IF(ISBLANK(DES_B),"b",DES_B)</f>
        <v>b</v>
      </c>
    </row>
    <row r="157" spans="1:2" x14ac:dyDescent="0.2">
      <c r="A157" s="19" t="s">
        <v>212</v>
      </c>
      <c r="B157" s="24" t="str">
        <f>IF(DEST="","b",DEST)</f>
        <v>b</v>
      </c>
    </row>
    <row r="158" spans="1:2" x14ac:dyDescent="0.2">
      <c r="A158" s="19" t="s">
        <v>213</v>
      </c>
      <c r="B158" s="24" t="str">
        <f>IF(ISBLANK(OMS),"b",OMS)</f>
        <v>b</v>
      </c>
    </row>
    <row r="159" spans="1:2" x14ac:dyDescent="0.2">
      <c r="A159" s="19" t="s">
        <v>214</v>
      </c>
      <c r="B159" s="24" t="str">
        <f>IF(ISBLANK(OM_B),"b",OM_B)</f>
        <v>b</v>
      </c>
    </row>
    <row r="160" spans="1:2" x14ac:dyDescent="0.2">
      <c r="A160" s="19" t="s">
        <v>215</v>
      </c>
      <c r="B160" s="24" t="str">
        <f>IF(OMT="","b",OMT)</f>
        <v>b</v>
      </c>
    </row>
    <row r="161" spans="1:2" x14ac:dyDescent="0.2">
      <c r="A161" s="19" t="s">
        <v>216</v>
      </c>
      <c r="B161" s="24" t="str">
        <f>IF(ISBLANK(SMANS),"b",SMANS)</f>
        <v>b</v>
      </c>
    </row>
    <row r="162" spans="1:2" x14ac:dyDescent="0.2">
      <c r="A162" s="19" t="s">
        <v>217</v>
      </c>
      <c r="B162" s="24" t="str">
        <f>IF(ISBLANK(SMAN_B),"b",SMAN_B)</f>
        <v>b</v>
      </c>
    </row>
    <row r="163" spans="1:2" x14ac:dyDescent="0.2">
      <c r="A163" s="19" t="s">
        <v>218</v>
      </c>
      <c r="B163" s="24" t="str">
        <f>IF(SMANT="","b",SMANT)</f>
        <v>b</v>
      </c>
    </row>
    <row r="164" spans="1:2" x14ac:dyDescent="0.2">
      <c r="A164" s="19" t="s">
        <v>219</v>
      </c>
      <c r="B164" s="24" t="str">
        <f>IF(ISBLANK(SLSS),"b",SLSS)</f>
        <v>b</v>
      </c>
    </row>
    <row r="165" spans="1:2" x14ac:dyDescent="0.2">
      <c r="A165" s="19" t="s">
        <v>220</v>
      </c>
      <c r="B165" s="24" t="str">
        <f>IF(ISBLANK(SLS_B),"b",SLS_B)</f>
        <v>b</v>
      </c>
    </row>
    <row r="166" spans="1:2" x14ac:dyDescent="0.2">
      <c r="A166" s="19" t="s">
        <v>221</v>
      </c>
      <c r="B166" s="24" t="str">
        <f>IF(SLST="","b",SLST)</f>
        <v>b</v>
      </c>
    </row>
    <row r="167" spans="1:2" x14ac:dyDescent="0.2">
      <c r="A167" s="19" t="s">
        <v>222</v>
      </c>
      <c r="B167" s="24" t="str">
        <f>IF(ISBLANK(ESTS),"b",ESTS)</f>
        <v>b</v>
      </c>
    </row>
    <row r="168" spans="1:2" x14ac:dyDescent="0.2">
      <c r="A168" s="19" t="s">
        <v>223</v>
      </c>
      <c r="B168" s="24" t="str">
        <f>IF(ISBLANK(EST_B),"b",EST_B)</f>
        <v>b</v>
      </c>
    </row>
    <row r="169" spans="1:2" x14ac:dyDescent="0.2">
      <c r="A169" s="19" t="s">
        <v>224</v>
      </c>
      <c r="B169" s="24" t="str">
        <f>IF(ESTT="","b",ESTT)</f>
        <v>b</v>
      </c>
    </row>
  </sheetData>
  <phoneticPr fontId="0" type="noConversion"/>
  <pageMargins left="0.5" right="0.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172</vt:i4>
      </vt:variant>
    </vt:vector>
  </HeadingPairs>
  <TitlesOfParts>
    <vt:vector size="175" baseType="lpstr">
      <vt:lpstr>NTMA Exec Comp</vt:lpstr>
      <vt:lpstr>Confidentiality</vt:lpstr>
      <vt:lpstr>Data</vt:lpstr>
      <vt:lpstr>AAR</vt:lpstr>
      <vt:lpstr>Accdpr</vt:lpstr>
      <vt:lpstr>AD</vt:lpstr>
      <vt:lpstr>Add</vt:lpstr>
      <vt:lpstr>Addr1</vt:lpstr>
      <vt:lpstr>Addr2</vt:lpstr>
      <vt:lpstr>ADM_B</vt:lpstr>
      <vt:lpstr>Admin</vt:lpstr>
      <vt:lpstr>ADMS</vt:lpstr>
      <vt:lpstr>ADMT</vt:lpstr>
      <vt:lpstr>Aero</vt:lpstr>
      <vt:lpstr>AMF</vt:lpstr>
      <vt:lpstr>AP</vt:lpstr>
      <vt:lpstr>Appl</vt:lpstr>
      <vt:lpstr>AR</vt:lpstr>
      <vt:lpstr>Auto</vt:lpstr>
      <vt:lpstr>AVG</vt:lpstr>
      <vt:lpstr>BD</vt:lpstr>
      <vt:lpstr>Binv</vt:lpstr>
      <vt:lpstr>Burden</vt:lpstr>
      <vt:lpstr>CA</vt:lpstr>
      <vt:lpstr>Cash</vt:lpstr>
      <vt:lpstr>CEO_B</vt:lpstr>
      <vt:lpstr>CEOS</vt:lpstr>
      <vt:lpstr>CEOT</vt:lpstr>
      <vt:lpstr>CFO_B</vt:lpstr>
      <vt:lpstr>CFOS</vt:lpstr>
      <vt:lpstr>CFOT</vt:lpstr>
      <vt:lpstr>Chem</vt:lpstr>
      <vt:lpstr>City</vt:lpstr>
      <vt:lpstr>CL</vt:lpstr>
      <vt:lpstr>COGS</vt:lpstr>
      <vt:lpstr>CON_B</vt:lpstr>
      <vt:lpstr>CONS</vt:lpstr>
      <vt:lpstr>CONT</vt:lpstr>
      <vt:lpstr>DES_B</vt:lpstr>
      <vt:lpstr>DESS</vt:lpstr>
      <vt:lpstr>DEST</vt:lpstr>
      <vt:lpstr>Diff</vt:lpstr>
      <vt:lpstr>Dlab</vt:lpstr>
      <vt:lpstr>DPR</vt:lpstr>
      <vt:lpstr>Dremp</vt:lpstr>
      <vt:lpstr>eaddr</vt:lpstr>
      <vt:lpstr>Einv</vt:lpstr>
      <vt:lpstr>Elect</vt:lpstr>
      <vt:lpstr>Emp</vt:lpstr>
      <vt:lpstr>End</vt:lpstr>
      <vt:lpstr>ENG_B</vt:lpstr>
      <vt:lpstr>ENGS</vt:lpstr>
      <vt:lpstr>ENGT</vt:lpstr>
      <vt:lpstr>Eqty</vt:lpstr>
      <vt:lpstr>Equip</vt:lpstr>
      <vt:lpstr>EST_B</vt:lpstr>
      <vt:lpstr>ESTS</vt:lpstr>
      <vt:lpstr>ESTT</vt:lpstr>
      <vt:lpstr>Exec</vt:lpstr>
      <vt:lpstr>Exemp</vt:lpstr>
      <vt:lpstr>Export</vt:lpstr>
      <vt:lpstr>Fiscal</vt:lpstr>
      <vt:lpstr>Fixed</vt:lpstr>
      <vt:lpstr>FMP</vt:lpstr>
      <vt:lpstr>Food</vt:lpstr>
      <vt:lpstr>FORE_B</vt:lpstr>
      <vt:lpstr>FORES</vt:lpstr>
      <vt:lpstr>FORET</vt:lpstr>
      <vt:lpstr>Gabur</vt:lpstr>
      <vt:lpstr>Gawel</vt:lpstr>
      <vt:lpstr>GFA</vt:lpstr>
      <vt:lpstr>GM_B</vt:lpstr>
      <vt:lpstr>GMS</vt:lpstr>
      <vt:lpstr>GMT</vt:lpstr>
      <vt:lpstr>GovtP</vt:lpstr>
      <vt:lpstr>GovtS</vt:lpstr>
      <vt:lpstr>GP</vt:lpstr>
      <vt:lpstr>GPM</vt:lpstr>
      <vt:lpstr>HR_B</vt:lpstr>
      <vt:lpstr>HRS</vt:lpstr>
      <vt:lpstr>HRT</vt:lpstr>
      <vt:lpstr>ID</vt:lpstr>
      <vt:lpstr>Ilab</vt:lpstr>
      <vt:lpstr>Indemp</vt:lpstr>
      <vt:lpstr>Ins</vt:lpstr>
      <vt:lpstr>Int</vt:lpstr>
      <vt:lpstr>Inv</vt:lpstr>
      <vt:lpstr>Lab</vt:lpstr>
      <vt:lpstr>Liab</vt:lpstr>
      <vt:lpstr>LIFO</vt:lpstr>
      <vt:lpstr>Loan</vt:lpstr>
      <vt:lpstr>LOB</vt:lpstr>
      <vt:lpstr>LTL</vt:lpstr>
      <vt:lpstr>MAN_B</vt:lpstr>
      <vt:lpstr>MANS</vt:lpstr>
      <vt:lpstr>MANT</vt:lpstr>
      <vt:lpstr>Mat</vt:lpstr>
      <vt:lpstr>Mine</vt:lpstr>
      <vt:lpstr>MIS_B</vt:lpstr>
      <vt:lpstr>MISS</vt:lpstr>
      <vt:lpstr>MIST</vt:lpstr>
      <vt:lpstr>Mlds</vt:lpstr>
      <vt:lpstr>Name</vt:lpstr>
      <vt:lpstr>Net</vt:lpstr>
      <vt:lpstr>NP</vt:lpstr>
      <vt:lpstr>NS</vt:lpstr>
      <vt:lpstr>Oca</vt:lpstr>
      <vt:lpstr>Ocl</vt:lpstr>
      <vt:lpstr>Ocust</vt:lpstr>
      <vt:lpstr>OE</vt:lpstr>
      <vt:lpstr>Oemp</vt:lpstr>
      <vt:lpstr>Oex</vt:lpstr>
      <vt:lpstr>OFA</vt:lpstr>
      <vt:lpstr>OI</vt:lpstr>
      <vt:lpstr>Oind</vt:lpstr>
      <vt:lpstr>OM_B</vt:lpstr>
      <vt:lpstr>Omfr</vt:lpstr>
      <vt:lpstr>OMS</vt:lpstr>
      <vt:lpstr>OMT</vt:lpstr>
      <vt:lpstr>OP</vt:lpstr>
      <vt:lpstr>Org</vt:lpstr>
      <vt:lpstr>Osell</vt:lpstr>
      <vt:lpstr>OT</vt:lpstr>
      <vt:lpstr>PA</vt:lpstr>
      <vt:lpstr>PBT</vt:lpstr>
      <vt:lpstr>PDF</vt:lpstr>
      <vt:lpstr>Person</vt:lpstr>
      <vt:lpstr>Phone</vt:lpstr>
      <vt:lpstr>Prev</vt:lpstr>
      <vt:lpstr>Confidentiality!Print_Area</vt:lpstr>
      <vt:lpstr>Data!Print_Area</vt:lpstr>
      <vt:lpstr>'NTMA Exec Comp'!Print_Area</vt:lpstr>
      <vt:lpstr>Prodn</vt:lpstr>
      <vt:lpstr>PUR_B</vt:lpstr>
      <vt:lpstr>PURS</vt:lpstr>
      <vt:lpstr>PURT</vt:lpstr>
      <vt:lpstr>QC_B</vt:lpstr>
      <vt:lpstr>QCS</vt:lpstr>
      <vt:lpstr>QCT</vt:lpstr>
      <vt:lpstr>Rent</vt:lpstr>
      <vt:lpstr>RM</vt:lpstr>
      <vt:lpstr>Sheet</vt:lpstr>
      <vt:lpstr>SHOP_B</vt:lpstr>
      <vt:lpstr>SHOPS</vt:lpstr>
      <vt:lpstr>SHOPT</vt:lpstr>
      <vt:lpstr>Sls</vt:lpstr>
      <vt:lpstr>SLS_B</vt:lpstr>
      <vt:lpstr>Slsemp</vt:lpstr>
      <vt:lpstr>SLSS</vt:lpstr>
      <vt:lpstr>SLST</vt:lpstr>
      <vt:lpstr>SM_B</vt:lpstr>
      <vt:lpstr>SMAN_B</vt:lpstr>
      <vt:lpstr>SMANS</vt:lpstr>
      <vt:lpstr>SMANT</vt:lpstr>
      <vt:lpstr>SMS</vt:lpstr>
      <vt:lpstr>SMT</vt:lpstr>
      <vt:lpstr>SPC</vt:lpstr>
      <vt:lpstr>State</vt:lpstr>
      <vt:lpstr>Sub</vt:lpstr>
      <vt:lpstr>Supp</vt:lpstr>
      <vt:lpstr>SUPR</vt:lpstr>
      <vt:lpstr>Supremp</vt:lpstr>
      <vt:lpstr>TA</vt:lpstr>
      <vt:lpstr>Tax</vt:lpstr>
      <vt:lpstr>Taxes</vt:lpstr>
      <vt:lpstr>TE</vt:lpstr>
      <vt:lpstr>Title</vt:lpstr>
      <vt:lpstr>Tls</vt:lpstr>
      <vt:lpstr>TOE</vt:lpstr>
      <vt:lpstr>TRV</vt:lpstr>
      <vt:lpstr>UT</vt:lpstr>
      <vt:lpstr>Wel</vt:lpstr>
      <vt:lpstr>Years</vt:lpstr>
      <vt:lpstr>Yr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Carrie Marsico</cp:lastModifiedBy>
  <cp:lastPrinted>2021-12-22T00:32:42Z</cp:lastPrinted>
  <dcterms:created xsi:type="dcterms:W3CDTF">2000-09-29T21:49:52Z</dcterms:created>
  <dcterms:modified xsi:type="dcterms:W3CDTF">2024-01-24T16:36:22Z</dcterms:modified>
</cp:coreProperties>
</file>