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macorg-my.sharepoint.com/personal/myoshida_mke7_com/Documents/EWI/EWI/Treasurer/"/>
    </mc:Choice>
  </mc:AlternateContent>
  <xr:revisionPtr revIDLastSave="0" documentId="8_{D2821865-1781-4EFE-8883-FCFE0AA930E3}" xr6:coauthVersionLast="47" xr6:coauthVersionMax="47" xr10:uidLastSave="{00000000-0000-0000-0000-000000000000}"/>
  <bookViews>
    <workbookView xWindow="2292" yWindow="0" windowWidth="15120" windowHeight="12360" xr2:uid="{00000000-000D-0000-FFFF-FFFF00000000}"/>
  </bookViews>
  <sheets>
    <sheet name="Op Budget" sheetId="1" r:id="rId1"/>
    <sheet name="BCDP Budget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2" i="1" l="1"/>
  <c r="E32" i="2" l="1"/>
  <c r="E21" i="2"/>
  <c r="E34" i="2" s="1"/>
  <c r="E35" i="2" s="1"/>
  <c r="E13" i="2"/>
  <c r="E78" i="1"/>
  <c r="E72" i="1"/>
  <c r="E71" i="1"/>
  <c r="E66" i="1"/>
  <c r="E61" i="1"/>
  <c r="E45" i="1"/>
  <c r="E27" i="1"/>
  <c r="E29" i="1" s="1"/>
  <c r="E73" i="1" s="1"/>
  <c r="E21" i="1"/>
  <c r="E16" i="1"/>
  <c r="E17" i="1" s="1"/>
  <c r="E11" i="1"/>
  <c r="D78" i="1"/>
  <c r="D24" i="2"/>
  <c r="D23" i="2"/>
  <c r="D7" i="2"/>
  <c r="F32" i="2"/>
  <c r="F21" i="2"/>
  <c r="F13" i="2"/>
  <c r="G32" i="2"/>
  <c r="G21" i="2"/>
  <c r="G13" i="2"/>
  <c r="D44" i="1"/>
  <c r="D43" i="1"/>
  <c r="B19" i="1"/>
  <c r="D30" i="2"/>
  <c r="G34" i="2" l="1"/>
  <c r="F34" i="2"/>
  <c r="F35" i="2" s="1"/>
  <c r="G35" i="2"/>
  <c r="D31" i="2"/>
  <c r="D29" i="2"/>
  <c r="D28" i="2"/>
  <c r="D27" i="2"/>
  <c r="D26" i="2"/>
  <c r="D17" i="2"/>
  <c r="D21" i="2" s="1"/>
  <c r="D10" i="2"/>
  <c r="D9" i="2"/>
  <c r="D8" i="2"/>
  <c r="D13" i="2" s="1"/>
  <c r="D67" i="1"/>
  <c r="D64" i="1"/>
  <c r="D63" i="1"/>
  <c r="D61" i="1"/>
  <c r="D47" i="1"/>
  <c r="D48" i="1" s="1"/>
  <c r="D40" i="1"/>
  <c r="D45" i="1" s="1"/>
  <c r="D27" i="1"/>
  <c r="D20" i="1"/>
  <c r="D19" i="1"/>
  <c r="D15" i="1"/>
  <c r="D14" i="1"/>
  <c r="D13" i="1"/>
  <c r="D10" i="1"/>
  <c r="D9" i="1"/>
  <c r="D8" i="1"/>
  <c r="G77" i="1"/>
  <c r="G75" i="1"/>
  <c r="G70" i="1"/>
  <c r="G69" i="1"/>
  <c r="G68" i="1"/>
  <c r="F71" i="1"/>
  <c r="G67" i="1"/>
  <c r="F65" i="1"/>
  <c r="G65" i="1"/>
  <c r="G64" i="1"/>
  <c r="G63" i="1"/>
  <c r="G60" i="1"/>
  <c r="G59" i="1"/>
  <c r="G58" i="1"/>
  <c r="G57" i="1"/>
  <c r="G55" i="1"/>
  <c r="G54" i="1"/>
  <c r="F52" i="1"/>
  <c r="G52" i="1"/>
  <c r="F51" i="1"/>
  <c r="G51" i="1"/>
  <c r="G50" i="1"/>
  <c r="F48" i="1"/>
  <c r="G47" i="1"/>
  <c r="G48" i="1" s="1"/>
  <c r="F44" i="1"/>
  <c r="G43" i="1"/>
  <c r="F42" i="1"/>
  <c r="G42" i="1"/>
  <c r="F41" i="1"/>
  <c r="G41" i="1"/>
  <c r="G40" i="1"/>
  <c r="F38" i="1"/>
  <c r="G37" i="1"/>
  <c r="G36" i="1"/>
  <c r="G35" i="1"/>
  <c r="F32" i="1"/>
  <c r="G32" i="1"/>
  <c r="G28" i="1"/>
  <c r="G25" i="1"/>
  <c r="F27" i="1"/>
  <c r="F20" i="1"/>
  <c r="G20" i="1"/>
  <c r="G19" i="1"/>
  <c r="F15" i="1"/>
  <c r="G15" i="1"/>
  <c r="F14" i="1"/>
  <c r="G14" i="1"/>
  <c r="F13" i="1"/>
  <c r="G13" i="1"/>
  <c r="F10" i="1"/>
  <c r="G10" i="1"/>
  <c r="F9" i="1"/>
  <c r="G9" i="1"/>
  <c r="F8" i="1"/>
  <c r="G8" i="1"/>
  <c r="F78" i="1" l="1"/>
  <c r="G71" i="1"/>
  <c r="D38" i="1"/>
  <c r="G66" i="1"/>
  <c r="D71" i="1"/>
  <c r="F66" i="1"/>
  <c r="D32" i="2"/>
  <c r="D34" i="2" s="1"/>
  <c r="D66" i="1"/>
  <c r="D11" i="1"/>
  <c r="D21" i="1"/>
  <c r="D16" i="1"/>
  <c r="F21" i="1"/>
  <c r="G21" i="1"/>
  <c r="G78" i="1"/>
  <c r="G45" i="1"/>
  <c r="F16" i="1"/>
  <c r="G38" i="1"/>
  <c r="G16" i="1"/>
  <c r="G11" i="1"/>
  <c r="F45" i="1"/>
  <c r="F49" i="1" s="1"/>
  <c r="G61" i="1"/>
  <c r="F61" i="1"/>
  <c r="F11" i="1"/>
  <c r="G27" i="1"/>
  <c r="F72" i="1" l="1"/>
  <c r="D49" i="1"/>
  <c r="D72" i="1" s="1"/>
  <c r="D17" i="1"/>
  <c r="D29" i="1" s="1"/>
  <c r="D35" i="2"/>
  <c r="G17" i="1"/>
  <c r="G29" i="1" s="1"/>
  <c r="F17" i="1"/>
  <c r="F29" i="1" s="1"/>
  <c r="G49" i="1"/>
  <c r="G72" i="1" s="1"/>
  <c r="D73" i="1" l="1"/>
  <c r="G73" i="1"/>
  <c r="F7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Marjorie Yoshida</author>
  </authors>
  <commentList>
    <comment ref="G11" authorId="0" shapeId="0" xr:uid="{68EFA49D-7C7E-4D8E-A30A-9AD6D3B1072E}">
      <text>
        <r>
          <rPr>
            <b/>
            <sz val="9"/>
            <color indexed="81"/>
            <rFont val="Tahoma"/>
            <family val="2"/>
          </rPr>
          <t>Marjorie Yoshida:</t>
        </r>
        <r>
          <rPr>
            <sz val="9"/>
            <color indexed="81"/>
            <rFont val="Tahoma"/>
            <family val="2"/>
          </rPr>
          <t xml:space="preserve">
$720 Raffle frame, $250 Associated</t>
        </r>
      </text>
    </comment>
  </commentList>
</comments>
</file>

<file path=xl/sharedStrings.xml><?xml version="1.0" encoding="utf-8"?>
<sst xmlns="http://schemas.openxmlformats.org/spreadsheetml/2006/main" count="149" uniqueCount="136">
  <si>
    <t>Income</t>
  </si>
  <si>
    <t xml:space="preserve">   300 Membership Income</t>
  </si>
  <si>
    <t xml:space="preserve">   Total 300 Membership Income</t>
  </si>
  <si>
    <t xml:space="preserve">   320 Meeting Income</t>
  </si>
  <si>
    <t xml:space="preserve">      320 Firm Recognition Night</t>
  </si>
  <si>
    <t xml:space="preserve">   Total 320 Meeting Income</t>
  </si>
  <si>
    <t xml:space="preserve">   350 Operating Fund Projects</t>
  </si>
  <si>
    <t xml:space="preserve">      350 Fundraisers</t>
  </si>
  <si>
    <t xml:space="preserve">      350 Handmade &amp; Heartfelt Raffle</t>
  </si>
  <si>
    <t xml:space="preserve">      350 Pot Luck</t>
  </si>
  <si>
    <t xml:space="preserve">      350 Raffles</t>
  </si>
  <si>
    <t xml:space="preserve">   Total 350 Operating Fund Projects</t>
  </si>
  <si>
    <t xml:space="preserve">   355 Miscellaneous Income</t>
  </si>
  <si>
    <t>Total Income</t>
  </si>
  <si>
    <t>Expenses</t>
  </si>
  <si>
    <t xml:space="preserve">   400 Annual Renew</t>
  </si>
  <si>
    <t xml:space="preserve">   403 Meetings &amp; Conventions</t>
  </si>
  <si>
    <t xml:space="preserve">      403 Board Forum</t>
  </si>
  <si>
    <t xml:space="preserve">         Board Forum Hotel</t>
  </si>
  <si>
    <t xml:space="preserve">         Board Forum Registratio</t>
  </si>
  <si>
    <t xml:space="preserve">         Board Forum Transportat</t>
  </si>
  <si>
    <t xml:space="preserve">      Total 403 Board Forum</t>
  </si>
  <si>
    <t xml:space="preserve">      403 LCAM</t>
  </si>
  <si>
    <t xml:space="preserve">         LCAM Delegate Fee</t>
  </si>
  <si>
    <t xml:space="preserve">         LCAM Hotel</t>
  </si>
  <si>
    <t xml:space="preserve">         LCAM Meals/Misc</t>
  </si>
  <si>
    <t xml:space="preserve">         LCAM Registration</t>
  </si>
  <si>
    <t xml:space="preserve">         LCAM Transportion</t>
  </si>
  <si>
    <t xml:space="preserve">      Total 403 LCAM</t>
  </si>
  <si>
    <t xml:space="preserve">      403 Leadership Caucus</t>
  </si>
  <si>
    <t xml:space="preserve">         Leadership Caucus Registration</t>
  </si>
  <si>
    <t xml:space="preserve">      Total 403 Leadership Caucus</t>
  </si>
  <si>
    <t xml:space="preserve">   Total 403 Meetings &amp; Conventions</t>
  </si>
  <si>
    <t xml:space="preserve">   406 Misc</t>
  </si>
  <si>
    <t xml:space="preserve">      406 Bank fees</t>
  </si>
  <si>
    <t xml:space="preserve">      406 Constant Contact</t>
  </si>
  <si>
    <t xml:space="preserve">      406 Liability Ins</t>
  </si>
  <si>
    <t xml:space="preserve">      406 Membership/Nametags</t>
  </si>
  <si>
    <t xml:space="preserve">      406 Past President's Gifts</t>
  </si>
  <si>
    <t xml:space="preserve">      406 Philanthropic Programs</t>
  </si>
  <si>
    <t xml:space="preserve">      406 Presidents Expense</t>
  </si>
  <si>
    <t xml:space="preserve">      406 Records Storage</t>
  </si>
  <si>
    <t xml:space="preserve">      406 Sponsorships/Branding</t>
  </si>
  <si>
    <t xml:space="preserve">   Total 406 Misc</t>
  </si>
  <si>
    <t xml:space="preserve">   420 Meeting</t>
  </si>
  <si>
    <t xml:space="preserve">      420 Speakers (meals/honorarium)</t>
  </si>
  <si>
    <t xml:space="preserve">   Total 420 Meeting</t>
  </si>
  <si>
    <t xml:space="preserve">   450 Operations Fundraising</t>
  </si>
  <si>
    <t xml:space="preserve">      450 Fundraiser</t>
  </si>
  <si>
    <t xml:space="preserve">      450 Potluck</t>
  </si>
  <si>
    <t xml:space="preserve">      450 Raffles</t>
  </si>
  <si>
    <t xml:space="preserve">   Total 450 Operations Fundraising</t>
  </si>
  <si>
    <t>Total Expenses</t>
  </si>
  <si>
    <t>Net Operating Income</t>
  </si>
  <si>
    <t>Other Income</t>
  </si>
  <si>
    <t xml:space="preserve">   800 Interest Ameriprise Acct</t>
  </si>
  <si>
    <t xml:space="preserve">   801 Gain/Loss on Investments</t>
  </si>
  <si>
    <t>Total Other Income</t>
  </si>
  <si>
    <t>Actual</t>
  </si>
  <si>
    <t>Proposed</t>
  </si>
  <si>
    <t>2020-2021</t>
  </si>
  <si>
    <t>UNIT</t>
  </si>
  <si>
    <t>TOTAL</t>
  </si>
  <si>
    <t>$ VALUE</t>
  </si>
  <si>
    <t xml:space="preserve">      301 New Member</t>
  </si>
  <si>
    <t xml:space="preserve">         301a  New Member </t>
  </si>
  <si>
    <t xml:space="preserve">         301b News 2nd/3rd Rep</t>
  </si>
  <si>
    <t xml:space="preserve">         301c  New Rep - Admin </t>
  </si>
  <si>
    <t xml:space="preserve">      Total 301 New Member </t>
  </si>
  <si>
    <t xml:space="preserve">      303 Renewal Member </t>
  </si>
  <si>
    <t xml:space="preserve">         303a Renew 1st Rep</t>
  </si>
  <si>
    <t xml:space="preserve">         303b  Renew 2nd/3rd</t>
  </si>
  <si>
    <t xml:space="preserve">         303c Renew Life/Sustaining </t>
  </si>
  <si>
    <t xml:space="preserve">      Total 303 Renewal Member</t>
  </si>
  <si>
    <t>2018 - 2019</t>
  </si>
  <si>
    <t>EWI of Milwaukee</t>
  </si>
  <si>
    <t>Incl mbrshp care pkgs this year</t>
  </si>
  <si>
    <t>cloud storage</t>
  </si>
  <si>
    <t>product fundraisers (Wildwood, coffee)</t>
  </si>
  <si>
    <t xml:space="preserve">      420 Firm Recognition Night </t>
  </si>
  <si>
    <t>Operating Budget</t>
  </si>
  <si>
    <t>FRN Silent Auction</t>
  </si>
  <si>
    <t>TOTAL INCOME</t>
  </si>
  <si>
    <t>EXPENSES</t>
  </si>
  <si>
    <t>Annual Awards (Scholarships &amp; Literacy programs)</t>
  </si>
  <si>
    <t>Linda Sauntmon Memorial (1x only)</t>
  </si>
  <si>
    <t>EWISP Scholarship Awards</t>
  </si>
  <si>
    <t>Total Annual Education Awards</t>
  </si>
  <si>
    <t>Expenses Connected with B/C/DP Education Award Program</t>
  </si>
  <si>
    <t>ASIST Mtg (3 students/3 guests/3 judges/1 spkr)</t>
  </si>
  <si>
    <t xml:space="preserve"> EWISP Mtg (3 students/3 guests/3 judges/1 spkr)</t>
  </si>
  <si>
    <t>Judges gifts</t>
  </si>
  <si>
    <t>Judges lunch</t>
  </si>
  <si>
    <t>Misc (parking/brochures/certificates/flowers)</t>
  </si>
  <si>
    <t>Literacy Meeting (July)</t>
  </si>
  <si>
    <t>Total Scholarship Program Expenses</t>
  </si>
  <si>
    <t>TOTAL EXPENSES</t>
  </si>
  <si>
    <t>Excess to Scholarship Reserve</t>
  </si>
  <si>
    <t>General Expenses (FRN Fundraiser, etc.)</t>
  </si>
  <si>
    <t>Fundraiser (no fundraiser in 2020-2021)</t>
  </si>
  <si>
    <t xml:space="preserve">      406 Website </t>
  </si>
  <si>
    <t>1/2 mtg contributions (Next Door, YWCA, Brewers)</t>
  </si>
  <si>
    <t>Other Income (Interest/Donations/Misc)</t>
  </si>
  <si>
    <t>ASIST Meeting (May/June)</t>
  </si>
  <si>
    <t>EWISP Meeting (May/June)</t>
  </si>
  <si>
    <t>BCDP Budget</t>
  </si>
  <si>
    <t>Literacy 2 guests/speakers</t>
  </si>
  <si>
    <t xml:space="preserve">2019 - 2020     </t>
  </si>
  <si>
    <t>2020-2021 June YTD</t>
  </si>
  <si>
    <t>2021-2022</t>
  </si>
  <si>
    <t>Oct 1, 2021 - Sep 30, 2022</t>
  </si>
  <si>
    <t xml:space="preserve">Ellen, Margie, Sharon, Rocky, Barb, Lori S. </t>
  </si>
  <si>
    <t>*Includes Lorie Barbian</t>
  </si>
  <si>
    <t>Julie, Cynthia, Abby</t>
  </si>
  <si>
    <t>5 budgeted last year, gained 2 new members 2021</t>
  </si>
  <si>
    <t xml:space="preserve">      320 Chapter Mtgs (8 mtgs x 22)</t>
  </si>
  <si>
    <t>*Last year budgeted 30 attendees per meeting</t>
  </si>
  <si>
    <t xml:space="preserve">*Last year budgeted 60 attendees </t>
  </si>
  <si>
    <t>Based on 25 attendees ($40)</t>
  </si>
  <si>
    <t>*Includes Dec 2019 Meetings fees paid by Harder</t>
  </si>
  <si>
    <t>LCAM 2022</t>
  </si>
  <si>
    <t>for LCAM 2022</t>
  </si>
  <si>
    <t>Facebook advtg, LCAM sponsorship (previous years)</t>
  </si>
  <si>
    <t>Interest Edward Jones Acct</t>
  </si>
  <si>
    <t>2020-2021 (July YTD)</t>
  </si>
  <si>
    <t>ASIST Meeting (May) (25 Avg attendance)</t>
  </si>
  <si>
    <t>EWISP Meeting (June) (30 Avg attendance)</t>
  </si>
  <si>
    <t>ASIST Scholarship Award - 2022</t>
  </si>
  <si>
    <t>Child/Adult Literacy Award - 2022</t>
  </si>
  <si>
    <t>LCAM 2021</t>
  </si>
  <si>
    <t>Corporate has paid this the past 3 years $650</t>
  </si>
  <si>
    <t xml:space="preserve">      420 Chapter Mtg Exp (8 mtgs x 20 ave.)</t>
  </si>
  <si>
    <t>Literacy Meeting (July) (25 Avg attendance)</t>
  </si>
  <si>
    <t>Philanthropy projects outside of BCDP</t>
  </si>
  <si>
    <t>Life renew/last year's pay of COVID impact mbr fees</t>
  </si>
  <si>
    <t>$4.95 Associated Bank Monthly Fee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</si>
</sst>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#,##0.00\ _€"/>
  </numFmts>
  <fonts count="15" x14ac:knownFonts="1">
    <font>
      <sz val="11"/>
      <color indexed="8"/>
      <name val="Calibri"/>
      <family val="2"/>
      <scheme val="minor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14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10"/>
      <color rgb="FFFF0000"/>
      <name val="Arial"/>
      <family val="2"/>
    </font>
    <font>
      <b/>
      <sz val="11"/>
      <color indexed="8"/>
      <name val="Calibri"/>
      <family val="2"/>
      <scheme val="minor"/>
    </font>
    <font>
      <b/>
      <sz val="11"/>
      <color indexed="8"/>
      <name val="Arial"/>
      <family val="2"/>
    </font>
    <font>
      <sz val="11"/>
      <color indexed="8"/>
      <name val="Arial Narrow"/>
      <family val="2"/>
    </font>
    <font>
      <sz val="11"/>
      <name val="Arial Narrow"/>
      <family val="2"/>
    </font>
    <font>
      <b/>
      <sz val="11"/>
      <color indexed="8"/>
      <name val="Arial Narrow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u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86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left" wrapText="1"/>
    </xf>
    <xf numFmtId="0" fontId="0" fillId="0" borderId="0" xfId="0" applyAlignment="1"/>
    <xf numFmtId="0" fontId="0" fillId="0" borderId="0" xfId="0" applyAlignment="1">
      <alignment horizontal="center"/>
    </xf>
    <xf numFmtId="0" fontId="2" fillId="0" borderId="0" xfId="0" applyFont="1" applyAlignment="1">
      <alignment horizontal="center" wrapText="1"/>
    </xf>
    <xf numFmtId="4" fontId="2" fillId="0" borderId="0" xfId="0" applyNumberFormat="1" applyFont="1" applyAlignment="1">
      <alignment horizontal="right" wrapText="1"/>
    </xf>
    <xf numFmtId="4" fontId="0" fillId="0" borderId="0" xfId="0" applyNumberFormat="1"/>
    <xf numFmtId="4" fontId="0" fillId="0" borderId="0" xfId="0" applyNumberFormat="1" applyAlignment="1">
      <alignment horizontal="right"/>
    </xf>
    <xf numFmtId="0" fontId="1" fillId="2" borderId="3" xfId="0" applyFont="1" applyFill="1" applyBorder="1" applyAlignment="1">
      <alignment horizontal="center" wrapText="1"/>
    </xf>
    <xf numFmtId="164" fontId="3" fillId="3" borderId="7" xfId="0" applyNumberFormat="1" applyFont="1" applyFill="1" applyBorder="1" applyAlignment="1">
      <alignment wrapText="1"/>
    </xf>
    <xf numFmtId="0" fontId="2" fillId="0" borderId="11" xfId="0" applyFont="1" applyBorder="1" applyAlignment="1">
      <alignment horizontal="center" wrapText="1"/>
    </xf>
    <xf numFmtId="4" fontId="2" fillId="0" borderId="0" xfId="0" applyNumberFormat="1" applyFont="1" applyBorder="1" applyAlignment="1">
      <alignment horizontal="center" wrapText="1"/>
    </xf>
    <xf numFmtId="4" fontId="2" fillId="0" borderId="12" xfId="0" applyNumberFormat="1" applyFont="1" applyBorder="1" applyAlignment="1">
      <alignment horizontal="center" wrapText="1"/>
    </xf>
    <xf numFmtId="0" fontId="8" fillId="0" borderId="0" xfId="0" applyFont="1" applyAlignment="1">
      <alignment horizontal="left" wrapText="1"/>
    </xf>
    <xf numFmtId="0" fontId="9" fillId="0" borderId="0" xfId="0" applyFont="1"/>
    <xf numFmtId="4" fontId="9" fillId="0" borderId="11" xfId="0" applyNumberFormat="1" applyFont="1" applyBorder="1"/>
    <xf numFmtId="39" fontId="9" fillId="0" borderId="0" xfId="0" applyNumberFormat="1" applyFont="1"/>
    <xf numFmtId="39" fontId="9" fillId="0" borderId="7" xfId="0" applyNumberFormat="1" applyFont="1" applyBorder="1"/>
    <xf numFmtId="0" fontId="10" fillId="0" borderId="0" xfId="0" applyFont="1"/>
    <xf numFmtId="4" fontId="10" fillId="0" borderId="11" xfId="0" applyNumberFormat="1" applyFont="1" applyBorder="1"/>
    <xf numFmtId="39" fontId="10" fillId="0" borderId="0" xfId="0" applyNumberFormat="1" applyFont="1"/>
    <xf numFmtId="39" fontId="10" fillId="0" borderId="7" xfId="0" applyNumberFormat="1" applyFont="1" applyBorder="1"/>
    <xf numFmtId="0" fontId="11" fillId="0" borderId="0" xfId="0" applyFont="1"/>
    <xf numFmtId="44" fontId="11" fillId="0" borderId="14" xfId="1" applyFont="1" applyBorder="1"/>
    <xf numFmtId="44" fontId="11" fillId="0" borderId="15" xfId="1" applyFont="1" applyBorder="1"/>
    <xf numFmtId="39" fontId="9" fillId="0" borderId="13" xfId="0" applyNumberFormat="1" applyFont="1" applyBorder="1"/>
    <xf numFmtId="44" fontId="11" fillId="0" borderId="2" xfId="1" applyFont="1" applyBorder="1"/>
    <xf numFmtId="44" fontId="11" fillId="0" borderId="7" xfId="1" applyFont="1" applyBorder="1"/>
    <xf numFmtId="39" fontId="9" fillId="0" borderId="1" xfId="0" applyNumberFormat="1" applyFont="1" applyBorder="1"/>
    <xf numFmtId="44" fontId="11" fillId="0" borderId="5" xfId="1" applyFont="1" applyBorder="1"/>
    <xf numFmtId="44" fontId="11" fillId="0" borderId="3" xfId="0" applyNumberFormat="1" applyFont="1" applyBorder="1"/>
    <xf numFmtId="44" fontId="9" fillId="0" borderId="2" xfId="1" applyFont="1" applyBorder="1"/>
    <xf numFmtId="44" fontId="9" fillId="0" borderId="8" xfId="1" applyFont="1" applyBorder="1"/>
    <xf numFmtId="44" fontId="11" fillId="0" borderId="0" xfId="1" applyFont="1" applyBorder="1"/>
    <xf numFmtId="0" fontId="11" fillId="0" borderId="0" xfId="0" applyFont="1" applyAlignment="1">
      <alignment horizontal="right"/>
    </xf>
    <xf numFmtId="4" fontId="0" fillId="0" borderId="11" xfId="0" applyNumberFormat="1" applyBorder="1"/>
    <xf numFmtId="0" fontId="9" fillId="0" borderId="0" xfId="0" applyFont="1" applyFill="1"/>
    <xf numFmtId="40" fontId="2" fillId="0" borderId="11" xfId="0" applyNumberFormat="1" applyFont="1" applyBorder="1" applyAlignment="1">
      <alignment horizontal="center" wrapText="1"/>
    </xf>
    <xf numFmtId="40" fontId="2" fillId="0" borderId="0" xfId="0" applyNumberFormat="1" applyFont="1" applyBorder="1" applyAlignment="1">
      <alignment horizontal="right" wrapText="1"/>
    </xf>
    <xf numFmtId="40" fontId="2" fillId="0" borderId="12" xfId="0" applyNumberFormat="1" applyFont="1" applyBorder="1" applyAlignment="1">
      <alignment horizontal="right" wrapText="1"/>
    </xf>
    <xf numFmtId="40" fontId="2" fillId="0" borderId="10" xfId="0" applyNumberFormat="1" applyFont="1" applyBorder="1" applyAlignment="1">
      <alignment horizontal="right" wrapText="1"/>
    </xf>
    <xf numFmtId="40" fontId="2" fillId="3" borderId="8" xfId="0" applyNumberFormat="1" applyFont="1" applyFill="1" applyBorder="1" applyAlignment="1">
      <alignment horizontal="right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40" fontId="2" fillId="0" borderId="16" xfId="0" applyNumberFormat="1" applyFont="1" applyBorder="1" applyAlignment="1">
      <alignment horizontal="right" wrapText="1"/>
    </xf>
    <xf numFmtId="0" fontId="0" fillId="0" borderId="0" xfId="0" applyFill="1" applyAlignment="1"/>
    <xf numFmtId="0" fontId="0" fillId="0" borderId="0" xfId="0" applyFill="1"/>
    <xf numFmtId="164" fontId="3" fillId="0" borderId="7" xfId="0" applyNumberFormat="1" applyFont="1" applyFill="1" applyBorder="1" applyAlignment="1">
      <alignment wrapText="1"/>
    </xf>
    <xf numFmtId="40" fontId="3" fillId="0" borderId="7" xfId="0" applyNumberFormat="1" applyFont="1" applyFill="1" applyBorder="1" applyAlignment="1">
      <alignment horizontal="right" wrapText="1"/>
    </xf>
    <xf numFmtId="40" fontId="3" fillId="0" borderId="7" xfId="0" applyNumberFormat="1" applyFont="1" applyFill="1" applyBorder="1" applyAlignment="1">
      <alignment wrapText="1"/>
    </xf>
    <xf numFmtId="40" fontId="3" fillId="0" borderId="13" xfId="0" applyNumberFormat="1" applyFont="1" applyFill="1" applyBorder="1" applyAlignment="1">
      <alignment horizontal="right" wrapText="1"/>
    </xf>
    <xf numFmtId="40" fontId="2" fillId="0" borderId="7" xfId="0" applyNumberFormat="1" applyFont="1" applyFill="1" applyBorder="1" applyAlignment="1">
      <alignment horizontal="right" wrapText="1"/>
    </xf>
    <xf numFmtId="40" fontId="2" fillId="0" borderId="8" xfId="0" applyNumberFormat="1" applyFont="1" applyFill="1" applyBorder="1" applyAlignment="1">
      <alignment horizontal="right" wrapText="1"/>
    </xf>
    <xf numFmtId="40" fontId="2" fillId="0" borderId="3" xfId="0" applyNumberFormat="1" applyFont="1" applyFill="1" applyBorder="1" applyAlignment="1">
      <alignment horizontal="right" wrapText="1"/>
    </xf>
    <xf numFmtId="40" fontId="2" fillId="0" borderId="10" xfId="0" applyNumberFormat="1" applyFont="1" applyFill="1" applyBorder="1" applyAlignment="1">
      <alignment horizontal="right" wrapText="1"/>
    </xf>
    <xf numFmtId="40" fontId="2" fillId="0" borderId="15" xfId="0" applyNumberFormat="1" applyFont="1" applyFill="1" applyBorder="1" applyAlignment="1">
      <alignment horizontal="right" wrapText="1"/>
    </xf>
    <xf numFmtId="164" fontId="3" fillId="0" borderId="0" xfId="0" applyNumberFormat="1" applyFont="1" applyFill="1" applyAlignment="1">
      <alignment wrapText="1"/>
    </xf>
    <xf numFmtId="0" fontId="2" fillId="0" borderId="0" xfId="0" applyFont="1" applyFill="1" applyAlignment="1">
      <alignment horizontal="left" wrapText="1"/>
    </xf>
    <xf numFmtId="40" fontId="2" fillId="0" borderId="11" xfId="0" applyNumberFormat="1" applyFont="1" applyFill="1" applyBorder="1" applyAlignment="1">
      <alignment horizontal="center" wrapText="1"/>
    </xf>
    <xf numFmtId="40" fontId="2" fillId="0" borderId="0" xfId="0" applyNumberFormat="1" applyFont="1" applyFill="1" applyBorder="1" applyAlignment="1">
      <alignment horizontal="right" wrapText="1"/>
    </xf>
    <xf numFmtId="40" fontId="2" fillId="0" borderId="12" xfId="0" applyNumberFormat="1" applyFont="1" applyFill="1" applyBorder="1" applyAlignment="1">
      <alignment horizontal="right" wrapText="1"/>
    </xf>
    <xf numFmtId="40" fontId="3" fillId="0" borderId="8" xfId="0" applyNumberFormat="1" applyFont="1" applyFill="1" applyBorder="1" applyAlignment="1">
      <alignment horizontal="right" wrapText="1"/>
    </xf>
    <xf numFmtId="0" fontId="1" fillId="0" borderId="3" xfId="0" applyFont="1" applyFill="1" applyBorder="1" applyAlignment="1">
      <alignment horizontal="center" wrapText="1"/>
    </xf>
    <xf numFmtId="4" fontId="0" fillId="0" borderId="0" xfId="0" applyNumberFormat="1" applyFill="1"/>
    <xf numFmtId="44" fontId="11" fillId="0" borderId="15" xfId="1" applyFont="1" applyFill="1" applyBorder="1"/>
    <xf numFmtId="44" fontId="11" fillId="0" borderId="8" xfId="1" applyFont="1" applyFill="1" applyBorder="1"/>
    <xf numFmtId="4" fontId="9" fillId="0" borderId="0" xfId="0" applyNumberFormat="1" applyFont="1" applyFill="1"/>
    <xf numFmtId="44" fontId="11" fillId="0" borderId="3" xfId="0" applyNumberFormat="1" applyFont="1" applyFill="1" applyBorder="1"/>
    <xf numFmtId="44" fontId="11" fillId="0" borderId="7" xfId="1" applyFont="1" applyFill="1" applyBorder="1"/>
    <xf numFmtId="0" fontId="2" fillId="0" borderId="11" xfId="0" applyFont="1" applyFill="1" applyBorder="1" applyAlignment="1">
      <alignment horizontal="center" wrapText="1"/>
    </xf>
    <xf numFmtId="0" fontId="10" fillId="0" borderId="0" xfId="0" applyFont="1" applyFill="1"/>
    <xf numFmtId="0" fontId="11" fillId="0" borderId="0" xfId="0" applyFont="1" applyFill="1"/>
    <xf numFmtId="0" fontId="7" fillId="2" borderId="4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14" fillId="2" borderId="9" xfId="0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0" fontId="14" fillId="2" borderId="10" xfId="0" applyFont="1" applyFill="1" applyBorder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7" fillId="2" borderId="9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6" fillId="0" borderId="0" xfId="0" applyFont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0"/>
  <sheetViews>
    <sheetView tabSelected="1" zoomScale="90" zoomScaleNormal="90" workbookViewId="0">
      <selection activeCell="H75" sqref="H75"/>
    </sheetView>
  </sheetViews>
  <sheetFormatPr defaultRowHeight="14.4" x14ac:dyDescent="0.3"/>
  <cols>
    <col min="1" max="1" width="39.109375" bestFit="1" customWidth="1"/>
    <col min="2" max="2" width="7.6640625" style="4" bestFit="1" customWidth="1"/>
    <col min="3" max="3" width="8.109375" style="8" bestFit="1" customWidth="1"/>
    <col min="4" max="4" width="10" style="8" bestFit="1" customWidth="1"/>
    <col min="5" max="5" width="10.33203125" style="47" bestFit="1" customWidth="1"/>
    <col min="6" max="7" width="11" style="47" bestFit="1" customWidth="1"/>
    <col min="8" max="8" width="47.88671875" bestFit="1" customWidth="1"/>
  </cols>
  <sheetData>
    <row r="1" spans="1:8" ht="17.399999999999999" x14ac:dyDescent="0.3">
      <c r="A1" s="43" t="s">
        <v>75</v>
      </c>
      <c r="B1" s="43"/>
      <c r="C1" s="79" t="s">
        <v>110</v>
      </c>
      <c r="D1" s="79"/>
      <c r="E1" s="79"/>
      <c r="F1" s="79"/>
      <c r="G1" s="46"/>
    </row>
    <row r="2" spans="1:8" ht="17.399999999999999" x14ac:dyDescent="0.3">
      <c r="A2" s="43" t="s">
        <v>80</v>
      </c>
      <c r="B2" s="43"/>
      <c r="C2" s="44"/>
      <c r="D2" s="44"/>
      <c r="E2" s="46"/>
      <c r="F2" s="46"/>
      <c r="G2" s="46"/>
    </row>
    <row r="3" spans="1:8" x14ac:dyDescent="0.3">
      <c r="B3" s="73" t="s">
        <v>59</v>
      </c>
      <c r="C3" s="74"/>
      <c r="D3" s="75"/>
      <c r="E3" s="73" t="s">
        <v>58</v>
      </c>
      <c r="F3" s="74"/>
      <c r="G3" s="75"/>
    </row>
    <row r="4" spans="1:8" ht="24.6" x14ac:dyDescent="0.3">
      <c r="A4" s="1"/>
      <c r="B4" s="76" t="s">
        <v>109</v>
      </c>
      <c r="C4" s="77"/>
      <c r="D4" s="78"/>
      <c r="E4" s="9" t="s">
        <v>108</v>
      </c>
      <c r="F4" s="9" t="s">
        <v>107</v>
      </c>
      <c r="G4" s="9" t="s">
        <v>74</v>
      </c>
    </row>
    <row r="5" spans="1:8" x14ac:dyDescent="0.3">
      <c r="A5" s="14" t="s">
        <v>0</v>
      </c>
      <c r="B5" s="11" t="s">
        <v>61</v>
      </c>
      <c r="C5" s="12" t="s">
        <v>63</v>
      </c>
      <c r="D5" s="13" t="s">
        <v>62</v>
      </c>
      <c r="F5" s="48"/>
      <c r="G5" s="48"/>
    </row>
    <row r="6" spans="1:8" x14ac:dyDescent="0.3">
      <c r="A6" s="2" t="s">
        <v>1</v>
      </c>
      <c r="B6" s="38"/>
      <c r="C6" s="39"/>
      <c r="D6" s="40"/>
      <c r="F6" s="49"/>
      <c r="G6" s="50"/>
    </row>
    <row r="7" spans="1:8" x14ac:dyDescent="0.3">
      <c r="A7" s="2" t="s">
        <v>64</v>
      </c>
      <c r="B7" s="38"/>
      <c r="C7" s="39"/>
      <c r="D7" s="40"/>
      <c r="F7" s="50"/>
      <c r="G7" s="50"/>
    </row>
    <row r="8" spans="1:8" x14ac:dyDescent="0.3">
      <c r="A8" s="2" t="s">
        <v>65</v>
      </c>
      <c r="B8" s="38">
        <v>4</v>
      </c>
      <c r="C8" s="39">
        <v>110</v>
      </c>
      <c r="D8" s="40">
        <f>B8*C8</f>
        <v>440</v>
      </c>
      <c r="E8" s="49">
        <v>385</v>
      </c>
      <c r="F8" s="49">
        <f>440</f>
        <v>440</v>
      </c>
      <c r="G8" s="49">
        <f>990</f>
        <v>990</v>
      </c>
      <c r="H8" t="s">
        <v>114</v>
      </c>
    </row>
    <row r="9" spans="1:8" x14ac:dyDescent="0.3">
      <c r="A9" s="2" t="s">
        <v>66</v>
      </c>
      <c r="B9" s="38">
        <v>1</v>
      </c>
      <c r="C9" s="39">
        <v>50</v>
      </c>
      <c r="D9" s="40">
        <f t="shared" ref="D9:D67" si="0">B9*C9</f>
        <v>50</v>
      </c>
      <c r="E9" s="49"/>
      <c r="F9" s="49">
        <f>150</f>
        <v>150</v>
      </c>
      <c r="G9" s="49">
        <f>170</f>
        <v>170</v>
      </c>
    </row>
    <row r="10" spans="1:8" x14ac:dyDescent="0.3">
      <c r="A10" s="2" t="s">
        <v>67</v>
      </c>
      <c r="B10" s="38">
        <v>5</v>
      </c>
      <c r="C10" s="39">
        <v>20</v>
      </c>
      <c r="D10" s="40">
        <f t="shared" si="0"/>
        <v>100</v>
      </c>
      <c r="E10" s="51">
        <v>65</v>
      </c>
      <c r="F10" s="49">
        <f>160</f>
        <v>160</v>
      </c>
      <c r="G10" s="49">
        <f>220</f>
        <v>220</v>
      </c>
    </row>
    <row r="11" spans="1:8" x14ac:dyDescent="0.3">
      <c r="A11" s="2" t="s">
        <v>68</v>
      </c>
      <c r="B11" s="38"/>
      <c r="C11" s="39"/>
      <c r="D11" s="41">
        <f>(((D7)+(D8))+(D9))+(D10)</f>
        <v>590</v>
      </c>
      <c r="E11" s="52">
        <f>SUM(E8:E10)</f>
        <v>450</v>
      </c>
      <c r="F11" s="53">
        <f>(((F7)+(F8))+(F9))+(F10)</f>
        <v>750</v>
      </c>
      <c r="G11" s="53">
        <f>(((G7)+(G8))+(G9))+(G10)</f>
        <v>1380</v>
      </c>
    </row>
    <row r="12" spans="1:8" x14ac:dyDescent="0.3">
      <c r="A12" s="2" t="s">
        <v>69</v>
      </c>
      <c r="B12" s="38"/>
      <c r="C12" s="39"/>
      <c r="D12" s="40"/>
      <c r="F12" s="50"/>
      <c r="G12" s="50"/>
    </row>
    <row r="13" spans="1:8" x14ac:dyDescent="0.3">
      <c r="A13" s="2" t="s">
        <v>70</v>
      </c>
      <c r="B13" s="38">
        <v>21</v>
      </c>
      <c r="C13" s="39">
        <v>110</v>
      </c>
      <c r="D13" s="40">
        <f t="shared" si="0"/>
        <v>2310</v>
      </c>
      <c r="E13" s="49">
        <v>1875</v>
      </c>
      <c r="F13" s="49">
        <f>2340</f>
        <v>2340</v>
      </c>
      <c r="G13" s="49">
        <f>2780</f>
        <v>2780</v>
      </c>
      <c r="H13" t="s">
        <v>112</v>
      </c>
    </row>
    <row r="14" spans="1:8" x14ac:dyDescent="0.3">
      <c r="A14" s="2" t="s">
        <v>71</v>
      </c>
      <c r="B14" s="38">
        <v>3</v>
      </c>
      <c r="C14" s="39">
        <v>50</v>
      </c>
      <c r="D14" s="40">
        <f t="shared" si="0"/>
        <v>150</v>
      </c>
      <c r="E14" s="49">
        <v>110</v>
      </c>
      <c r="F14" s="49">
        <f>200</f>
        <v>200</v>
      </c>
      <c r="G14" s="49">
        <f>200</f>
        <v>200</v>
      </c>
      <c r="H14" t="s">
        <v>113</v>
      </c>
    </row>
    <row r="15" spans="1:8" x14ac:dyDescent="0.3">
      <c r="A15" s="2" t="s">
        <v>72</v>
      </c>
      <c r="B15" s="38">
        <v>6</v>
      </c>
      <c r="C15" s="39">
        <v>5</v>
      </c>
      <c r="D15" s="40">
        <f t="shared" si="0"/>
        <v>30</v>
      </c>
      <c r="E15" s="51"/>
      <c r="F15" s="49">
        <f>20</f>
        <v>20</v>
      </c>
      <c r="G15" s="49">
        <f>25</f>
        <v>25</v>
      </c>
      <c r="H15" t="s">
        <v>111</v>
      </c>
    </row>
    <row r="16" spans="1:8" x14ac:dyDescent="0.3">
      <c r="A16" s="2" t="s">
        <v>73</v>
      </c>
      <c r="B16" s="38"/>
      <c r="C16" s="39"/>
      <c r="D16" s="41">
        <f>(((D12)+(D13))+(D14))+(D15)</f>
        <v>2490</v>
      </c>
      <c r="E16" s="54">
        <f>(((E12)+(E13))+(E14))+(E15)</f>
        <v>1985</v>
      </c>
      <c r="F16" s="53">
        <f>(((F12)+(F13))+(F14))+(F15)</f>
        <v>2560</v>
      </c>
      <c r="G16" s="53">
        <f>(((G12)+(G13))+(G14))+(G15)</f>
        <v>3005</v>
      </c>
    </row>
    <row r="17" spans="1:8" x14ac:dyDescent="0.3">
      <c r="A17" s="2" t="s">
        <v>2</v>
      </c>
      <c r="B17" s="38"/>
      <c r="C17" s="39"/>
      <c r="D17" s="41">
        <f>D16+D11</f>
        <v>3080</v>
      </c>
      <c r="E17" s="53">
        <f>E16+E11</f>
        <v>2435</v>
      </c>
      <c r="F17" s="53">
        <f>F16+F11</f>
        <v>3310</v>
      </c>
      <c r="G17" s="53">
        <f>G16+G11</f>
        <v>4385</v>
      </c>
    </row>
    <row r="18" spans="1:8" x14ac:dyDescent="0.3">
      <c r="A18" s="2" t="s">
        <v>3</v>
      </c>
      <c r="B18" s="38"/>
      <c r="C18" s="39"/>
      <c r="D18" s="40"/>
      <c r="E18" s="49"/>
      <c r="F18" s="50"/>
      <c r="G18" s="50"/>
    </row>
    <row r="19" spans="1:8" x14ac:dyDescent="0.3">
      <c r="A19" s="2" t="s">
        <v>115</v>
      </c>
      <c r="B19" s="38">
        <f>176</f>
        <v>176</v>
      </c>
      <c r="C19" s="39">
        <v>40</v>
      </c>
      <c r="D19" s="40">
        <f t="shared" si="0"/>
        <v>7040</v>
      </c>
      <c r="E19" s="49">
        <v>2315.2199999999998</v>
      </c>
      <c r="F19" s="49">
        <v>9398.69</v>
      </c>
      <c r="G19" s="49">
        <f>13091.5</f>
        <v>13091.5</v>
      </c>
      <c r="H19" t="s">
        <v>116</v>
      </c>
    </row>
    <row r="20" spans="1:8" x14ac:dyDescent="0.3">
      <c r="A20" s="2" t="s">
        <v>4</v>
      </c>
      <c r="B20" s="38">
        <v>36</v>
      </c>
      <c r="C20" s="39">
        <v>75</v>
      </c>
      <c r="D20" s="40">
        <f t="shared" si="0"/>
        <v>2700</v>
      </c>
      <c r="E20" s="51"/>
      <c r="F20" s="49">
        <f>4580</f>
        <v>4580</v>
      </c>
      <c r="G20" s="49">
        <f>4353.83</f>
        <v>4353.83</v>
      </c>
      <c r="H20" t="s">
        <v>117</v>
      </c>
    </row>
    <row r="21" spans="1:8" x14ac:dyDescent="0.3">
      <c r="A21" s="2" t="s">
        <v>5</v>
      </c>
      <c r="B21" s="38"/>
      <c r="C21" s="39"/>
      <c r="D21" s="41">
        <f>SUM(D19:D20)</f>
        <v>9740</v>
      </c>
      <c r="E21" s="55">
        <f>SUM(E19:E20)</f>
        <v>2315.2199999999998</v>
      </c>
      <c r="F21" s="53">
        <f>SUM(F19:F20)</f>
        <v>13978.69</v>
      </c>
      <c r="G21" s="53">
        <f>SUM(G19:G20)</f>
        <v>17445.330000000002</v>
      </c>
    </row>
    <row r="22" spans="1:8" s="47" customFormat="1" x14ac:dyDescent="0.3">
      <c r="A22" s="58" t="s">
        <v>6</v>
      </c>
      <c r="B22" s="59"/>
      <c r="C22" s="60"/>
      <c r="D22" s="61">
        <f>5354-2059</f>
        <v>3295</v>
      </c>
      <c r="E22" s="49">
        <v>3844.65</v>
      </c>
      <c r="F22" s="49">
        <v>3040</v>
      </c>
      <c r="G22" s="49">
        <v>210</v>
      </c>
      <c r="H22" s="47" t="s">
        <v>119</v>
      </c>
    </row>
    <row r="23" spans="1:8" x14ac:dyDescent="0.3">
      <c r="A23" s="2" t="s">
        <v>7</v>
      </c>
      <c r="B23" s="38"/>
      <c r="C23" s="39"/>
      <c r="D23" s="61"/>
      <c r="E23" s="49"/>
      <c r="F23" s="50"/>
      <c r="G23" s="50">
        <v>1614</v>
      </c>
      <c r="H23" t="s">
        <v>78</v>
      </c>
    </row>
    <row r="24" spans="1:8" x14ac:dyDescent="0.3">
      <c r="A24" s="2" t="s">
        <v>8</v>
      </c>
      <c r="B24" s="38"/>
      <c r="C24" s="39"/>
      <c r="D24" s="40"/>
      <c r="E24" s="49">
        <v>510</v>
      </c>
      <c r="F24" s="50">
        <v>1105</v>
      </c>
      <c r="G24" s="50">
        <v>715</v>
      </c>
    </row>
    <row r="25" spans="1:8" x14ac:dyDescent="0.3">
      <c r="A25" s="2" t="s">
        <v>9</v>
      </c>
      <c r="B25" s="38"/>
      <c r="C25" s="39"/>
      <c r="D25" s="40"/>
      <c r="E25" s="49"/>
      <c r="F25" s="50"/>
      <c r="G25" s="49">
        <f>1320</f>
        <v>1320</v>
      </c>
      <c r="H25" t="s">
        <v>118</v>
      </c>
    </row>
    <row r="26" spans="1:8" x14ac:dyDescent="0.3">
      <c r="A26" s="2" t="s">
        <v>10</v>
      </c>
      <c r="B26" s="38"/>
      <c r="C26" s="39"/>
      <c r="D26" s="40"/>
      <c r="E26" s="51">
        <v>893.55</v>
      </c>
      <c r="F26" s="50">
        <v>390</v>
      </c>
      <c r="G26" s="49">
        <v>2270</v>
      </c>
    </row>
    <row r="27" spans="1:8" x14ac:dyDescent="0.3">
      <c r="A27" s="2" t="s">
        <v>11</v>
      </c>
      <c r="B27" s="38"/>
      <c r="C27" s="39"/>
      <c r="D27" s="41">
        <f>((((D22)+(D23))+(D24))+(D25))+(D26)</f>
        <v>3295</v>
      </c>
      <c r="E27" s="53">
        <f>((((E22)+(E23))+(E24))+(E25))+(E26)</f>
        <v>5248.2</v>
      </c>
      <c r="F27" s="53">
        <f>((((F22)+(F23))+(F24))+(F25))+(F26)</f>
        <v>4535</v>
      </c>
      <c r="G27" s="53">
        <f>((((G22)+(G23))+(G24))+(G25))+(G26)</f>
        <v>6129</v>
      </c>
    </row>
    <row r="28" spans="1:8" x14ac:dyDescent="0.3">
      <c r="A28" s="2" t="s">
        <v>12</v>
      </c>
      <c r="B28" s="38"/>
      <c r="C28" s="39"/>
      <c r="D28" s="40">
        <v>0</v>
      </c>
      <c r="E28" s="51">
        <v>623</v>
      </c>
      <c r="F28" s="49">
        <v>570.99</v>
      </c>
      <c r="G28" s="49">
        <f>513</f>
        <v>513</v>
      </c>
      <c r="H28" t="s">
        <v>133</v>
      </c>
    </row>
    <row r="29" spans="1:8" x14ac:dyDescent="0.3">
      <c r="A29" s="2" t="s">
        <v>13</v>
      </c>
      <c r="B29" s="38"/>
      <c r="C29" s="39"/>
      <c r="D29" s="41">
        <f>D27+D21+D17+D28</f>
        <v>16115</v>
      </c>
      <c r="E29" s="55">
        <f>E27+E21+E17+E28</f>
        <v>10621.42</v>
      </c>
      <c r="F29" s="55">
        <f>F27+F21+F17+F28</f>
        <v>22394.680000000004</v>
      </c>
      <c r="G29" s="55">
        <f>G27+G21+G17+G28</f>
        <v>28472.33</v>
      </c>
    </row>
    <row r="30" spans="1:8" x14ac:dyDescent="0.3">
      <c r="A30" s="2"/>
      <c r="B30" s="38"/>
      <c r="C30" s="39"/>
      <c r="D30" s="41"/>
      <c r="E30" s="49"/>
      <c r="F30" s="53"/>
      <c r="G30" s="53"/>
    </row>
    <row r="31" spans="1:8" x14ac:dyDescent="0.3">
      <c r="A31" s="14" t="s">
        <v>14</v>
      </c>
      <c r="B31" s="38"/>
      <c r="C31" s="39"/>
      <c r="D31" s="40"/>
      <c r="E31" s="49"/>
      <c r="F31" s="50"/>
      <c r="G31" s="50"/>
    </row>
    <row r="32" spans="1:8" s="47" customFormat="1" x14ac:dyDescent="0.3">
      <c r="A32" s="58" t="s">
        <v>15</v>
      </c>
      <c r="B32" s="59"/>
      <c r="C32" s="60"/>
      <c r="D32" s="61">
        <v>160</v>
      </c>
      <c r="E32" s="49">
        <v>770</v>
      </c>
      <c r="F32" s="49">
        <f>625</f>
        <v>625</v>
      </c>
      <c r="G32" s="49">
        <f>160</f>
        <v>160</v>
      </c>
      <c r="H32" s="47" t="s">
        <v>134</v>
      </c>
    </row>
    <row r="33" spans="1:8" x14ac:dyDescent="0.3">
      <c r="A33" s="2" t="s">
        <v>16</v>
      </c>
      <c r="B33" s="38"/>
      <c r="C33" s="39"/>
      <c r="D33" s="40"/>
      <c r="E33" s="49"/>
      <c r="F33" s="50"/>
      <c r="G33" s="50"/>
    </row>
    <row r="34" spans="1:8" s="47" customFormat="1" x14ac:dyDescent="0.3">
      <c r="A34" s="58" t="s">
        <v>17</v>
      </c>
      <c r="B34" s="59"/>
      <c r="C34" s="60"/>
      <c r="D34" s="61"/>
      <c r="E34" s="49"/>
      <c r="F34" s="50"/>
      <c r="G34" s="50"/>
    </row>
    <row r="35" spans="1:8" s="47" customFormat="1" x14ac:dyDescent="0.3">
      <c r="A35" s="58" t="s">
        <v>18</v>
      </c>
      <c r="B35" s="59"/>
      <c r="C35" s="60"/>
      <c r="D35" s="61">
        <v>0</v>
      </c>
      <c r="E35" s="49"/>
      <c r="F35" s="50"/>
      <c r="G35" s="49">
        <f>162.98</f>
        <v>162.97999999999999</v>
      </c>
    </row>
    <row r="36" spans="1:8" s="47" customFormat="1" x14ac:dyDescent="0.3">
      <c r="A36" s="58" t="s">
        <v>19</v>
      </c>
      <c r="B36" s="59"/>
      <c r="C36" s="60"/>
      <c r="D36" s="61">
        <v>0</v>
      </c>
      <c r="E36" s="49"/>
      <c r="F36" s="50"/>
      <c r="G36" s="49">
        <f>125</f>
        <v>125</v>
      </c>
    </row>
    <row r="37" spans="1:8" s="47" customFormat="1" x14ac:dyDescent="0.3">
      <c r="A37" s="58" t="s">
        <v>20</v>
      </c>
      <c r="B37" s="59"/>
      <c r="C37" s="60"/>
      <c r="D37" s="61">
        <v>0</v>
      </c>
      <c r="E37" s="49"/>
      <c r="F37" s="50"/>
      <c r="G37" s="49">
        <f>340.57</f>
        <v>340.57</v>
      </c>
    </row>
    <row r="38" spans="1:8" s="47" customFormat="1" x14ac:dyDescent="0.3">
      <c r="A38" s="58" t="s">
        <v>21</v>
      </c>
      <c r="B38" s="59"/>
      <c r="C38" s="60"/>
      <c r="D38" s="55">
        <f>(((D34)+(D35))+(D36))+(D37)</f>
        <v>0</v>
      </c>
      <c r="E38" s="62"/>
      <c r="F38" s="53">
        <f>(((F34)+(F35))+(F36))+(F37)</f>
        <v>0</v>
      </c>
      <c r="G38" s="53">
        <f>(((G34)+(G35))+(G36))+(G37)</f>
        <v>628.54999999999995</v>
      </c>
    </row>
    <row r="39" spans="1:8" x14ac:dyDescent="0.3">
      <c r="A39" s="2" t="s">
        <v>22</v>
      </c>
      <c r="B39" s="38"/>
      <c r="C39" s="39"/>
      <c r="D39" s="40"/>
      <c r="E39" s="49"/>
      <c r="F39" s="50"/>
      <c r="G39" s="50"/>
    </row>
    <row r="40" spans="1:8" x14ac:dyDescent="0.3">
      <c r="A40" s="2" t="s">
        <v>23</v>
      </c>
      <c r="B40" s="38">
        <v>2</v>
      </c>
      <c r="C40" s="39">
        <v>50</v>
      </c>
      <c r="D40" s="40">
        <f t="shared" si="0"/>
        <v>100</v>
      </c>
      <c r="E40" s="49"/>
      <c r="F40" s="50">
        <v>100</v>
      </c>
      <c r="G40" s="49">
        <f>100</f>
        <v>100</v>
      </c>
      <c r="H40" t="s">
        <v>120</v>
      </c>
    </row>
    <row r="41" spans="1:8" x14ac:dyDescent="0.3">
      <c r="A41" s="2" t="s">
        <v>24</v>
      </c>
      <c r="B41" s="38"/>
      <c r="C41" s="39"/>
      <c r="D41" s="40">
        <v>1000</v>
      </c>
      <c r="E41" s="49"/>
      <c r="F41" s="49">
        <f>427.42</f>
        <v>427.42</v>
      </c>
      <c r="G41" s="49">
        <f>1419.04</f>
        <v>1419.04</v>
      </c>
      <c r="H41" t="s">
        <v>129</v>
      </c>
    </row>
    <row r="42" spans="1:8" x14ac:dyDescent="0.3">
      <c r="A42" s="2" t="s">
        <v>25</v>
      </c>
      <c r="B42" s="38"/>
      <c r="C42" s="39"/>
      <c r="D42" s="40">
        <v>200</v>
      </c>
      <c r="E42" s="49"/>
      <c r="F42" s="49">
        <f>203.87</f>
        <v>203.87</v>
      </c>
      <c r="G42" s="49">
        <f>240.5</f>
        <v>240.5</v>
      </c>
      <c r="H42" t="s">
        <v>129</v>
      </c>
    </row>
    <row r="43" spans="1:8" x14ac:dyDescent="0.3">
      <c r="A43" s="2" t="s">
        <v>26</v>
      </c>
      <c r="B43" s="38">
        <v>2</v>
      </c>
      <c r="C43" s="39">
        <v>650</v>
      </c>
      <c r="D43" s="40">
        <f>C43*B43</f>
        <v>1300</v>
      </c>
      <c r="E43" s="49">
        <v>1950</v>
      </c>
      <c r="F43" s="50">
        <v>12</v>
      </c>
      <c r="G43" s="49">
        <f>2350</f>
        <v>2350</v>
      </c>
      <c r="H43" t="s">
        <v>121</v>
      </c>
    </row>
    <row r="44" spans="1:8" x14ac:dyDescent="0.3">
      <c r="A44" s="2" t="s">
        <v>27</v>
      </c>
      <c r="B44" s="38">
        <v>2</v>
      </c>
      <c r="C44" s="39">
        <v>450</v>
      </c>
      <c r="D44" s="40">
        <f>C44*B44</f>
        <v>900</v>
      </c>
      <c r="E44" s="49">
        <v>972.8</v>
      </c>
      <c r="F44" s="49">
        <f>12</f>
        <v>12</v>
      </c>
      <c r="G44" s="50"/>
      <c r="H44" t="s">
        <v>121</v>
      </c>
    </row>
    <row r="45" spans="1:8" x14ac:dyDescent="0.3">
      <c r="A45" s="2" t="s">
        <v>28</v>
      </c>
      <c r="B45" s="38"/>
      <c r="C45" s="39"/>
      <c r="D45" s="41">
        <f>(((((D39)+(D40))+(D41))+(D42))+(D43))+(D44)</f>
        <v>3500</v>
      </c>
      <c r="E45" s="53">
        <f>(((((E39)+(E40))+(E41))+(E42))+(E43))+(E44)</f>
        <v>2922.8</v>
      </c>
      <c r="F45" s="53">
        <f>(((((F39)+(F40))+(F41))+(F42))+(F43))+(F44)</f>
        <v>755.29000000000008</v>
      </c>
      <c r="G45" s="53">
        <f>(((((G39)+(G40))+(G41))+(G42))+(G43))+(G44)</f>
        <v>4109.54</v>
      </c>
    </row>
    <row r="46" spans="1:8" x14ac:dyDescent="0.3">
      <c r="A46" s="2" t="s">
        <v>29</v>
      </c>
      <c r="B46" s="38"/>
      <c r="C46" s="39"/>
      <c r="D46" s="40"/>
      <c r="E46" s="49"/>
      <c r="F46" s="50"/>
      <c r="G46" s="50"/>
    </row>
    <row r="47" spans="1:8" x14ac:dyDescent="0.3">
      <c r="A47" s="2" t="s">
        <v>30</v>
      </c>
      <c r="B47" s="38">
        <v>2</v>
      </c>
      <c r="C47" s="39">
        <v>195</v>
      </c>
      <c r="D47" s="40">
        <f t="shared" si="0"/>
        <v>390</v>
      </c>
      <c r="E47" s="49"/>
      <c r="F47" s="50"/>
      <c r="G47" s="49">
        <f>390</f>
        <v>390</v>
      </c>
      <c r="H47" t="s">
        <v>120</v>
      </c>
    </row>
    <row r="48" spans="1:8" x14ac:dyDescent="0.3">
      <c r="A48" s="2" t="s">
        <v>31</v>
      </c>
      <c r="B48" s="38"/>
      <c r="C48" s="39"/>
      <c r="D48" s="41">
        <f>(D46)+(D47)</f>
        <v>390</v>
      </c>
      <c r="E48" s="49"/>
      <c r="F48" s="53">
        <f>(F46)+(F47)</f>
        <v>0</v>
      </c>
      <c r="G48" s="53">
        <f>(G46)+(G47)</f>
        <v>390</v>
      </c>
    </row>
    <row r="49" spans="1:8" x14ac:dyDescent="0.3">
      <c r="A49" s="2" t="s">
        <v>32</v>
      </c>
      <c r="B49" s="38"/>
      <c r="C49" s="39"/>
      <c r="D49" s="41">
        <f>(((D33)+(D38))+(D45))+(D48)</f>
        <v>3890</v>
      </c>
      <c r="E49" s="49"/>
      <c r="F49" s="53">
        <f>(((F33)+(F38))+(F45))+(F48)</f>
        <v>755.29000000000008</v>
      </c>
      <c r="G49" s="53">
        <f>(((G33)+(G38))+(G45))+(G48)</f>
        <v>5128.09</v>
      </c>
    </row>
    <row r="50" spans="1:8" x14ac:dyDescent="0.3">
      <c r="A50" s="2" t="s">
        <v>33</v>
      </c>
      <c r="B50" s="38"/>
      <c r="C50" s="39"/>
      <c r="D50" s="40">
        <v>400</v>
      </c>
      <c r="E50" s="49">
        <v>175.08</v>
      </c>
      <c r="F50" s="49">
        <v>649.37</v>
      </c>
      <c r="G50" s="49">
        <f>826.77</f>
        <v>826.77</v>
      </c>
    </row>
    <row r="51" spans="1:8" x14ac:dyDescent="0.3">
      <c r="A51" s="2" t="s">
        <v>34</v>
      </c>
      <c r="B51" s="38">
        <v>12</v>
      </c>
      <c r="C51" s="39">
        <v>4.95</v>
      </c>
      <c r="D51" s="40">
        <v>60</v>
      </c>
      <c r="E51" s="49">
        <v>78.319999999999993</v>
      </c>
      <c r="F51" s="49">
        <f>83.6</f>
        <v>83.6</v>
      </c>
      <c r="G51" s="49">
        <f>262.74</f>
        <v>262.74</v>
      </c>
      <c r="H51" t="s">
        <v>135</v>
      </c>
    </row>
    <row r="52" spans="1:8" x14ac:dyDescent="0.3">
      <c r="A52" s="2" t="s">
        <v>35</v>
      </c>
      <c r="B52" s="38"/>
      <c r="C52" s="39"/>
      <c r="D52" s="40">
        <v>400</v>
      </c>
      <c r="E52" s="49">
        <v>378</v>
      </c>
      <c r="F52" s="49">
        <f>378</f>
        <v>378</v>
      </c>
      <c r="G52" s="49">
        <f>378</f>
        <v>378</v>
      </c>
    </row>
    <row r="53" spans="1:8" x14ac:dyDescent="0.3">
      <c r="A53" s="2" t="s">
        <v>36</v>
      </c>
      <c r="B53" s="38"/>
      <c r="C53" s="39"/>
      <c r="D53" s="40">
        <v>650</v>
      </c>
      <c r="E53" s="49"/>
      <c r="F53" s="50"/>
      <c r="G53" s="50"/>
      <c r="H53" t="s">
        <v>130</v>
      </c>
    </row>
    <row r="54" spans="1:8" x14ac:dyDescent="0.3">
      <c r="A54" s="2" t="s">
        <v>37</v>
      </c>
      <c r="B54" s="38"/>
      <c r="C54" s="39"/>
      <c r="D54" s="40">
        <v>80</v>
      </c>
      <c r="E54" s="49">
        <v>349.1</v>
      </c>
      <c r="F54" s="49">
        <v>501.02</v>
      </c>
      <c r="G54" s="49">
        <f>188.67</f>
        <v>188.67</v>
      </c>
      <c r="H54" t="s">
        <v>76</v>
      </c>
    </row>
    <row r="55" spans="1:8" x14ac:dyDescent="0.3">
      <c r="A55" s="2" t="s">
        <v>38</v>
      </c>
      <c r="B55" s="38"/>
      <c r="C55" s="39"/>
      <c r="D55" s="40">
        <v>100</v>
      </c>
      <c r="E55" s="49">
        <v>303.91000000000003</v>
      </c>
      <c r="F55" s="49">
        <v>431.4</v>
      </c>
      <c r="G55" s="49">
        <f>447.39</f>
        <v>447.39</v>
      </c>
    </row>
    <row r="56" spans="1:8" s="47" customFormat="1" x14ac:dyDescent="0.3">
      <c r="A56" s="58" t="s">
        <v>39</v>
      </c>
      <c r="B56" s="59"/>
      <c r="C56" s="60"/>
      <c r="D56" s="61">
        <v>0</v>
      </c>
      <c r="E56" s="49">
        <v>927.54</v>
      </c>
      <c r="F56" s="49">
        <v>1060</v>
      </c>
      <c r="G56" s="50"/>
      <c r="H56" s="47" t="s">
        <v>101</v>
      </c>
    </row>
    <row r="57" spans="1:8" x14ac:dyDescent="0.3">
      <c r="A57" s="2" t="s">
        <v>40</v>
      </c>
      <c r="B57" s="38"/>
      <c r="C57" s="39"/>
      <c r="D57" s="40">
        <v>250</v>
      </c>
      <c r="E57" s="49">
        <v>216.05</v>
      </c>
      <c r="F57" s="49">
        <v>460.53</v>
      </c>
      <c r="G57" s="49">
        <f>222.68</f>
        <v>222.68</v>
      </c>
    </row>
    <row r="58" spans="1:8" x14ac:dyDescent="0.3">
      <c r="A58" s="2" t="s">
        <v>41</v>
      </c>
      <c r="B58" s="38"/>
      <c r="C58" s="39"/>
      <c r="D58" s="40">
        <v>50</v>
      </c>
      <c r="E58" s="49">
        <v>19.989999999999998</v>
      </c>
      <c r="F58" s="49">
        <v>69.989999999999995</v>
      </c>
      <c r="G58" s="49">
        <f>593</f>
        <v>593</v>
      </c>
      <c r="H58" t="s">
        <v>77</v>
      </c>
    </row>
    <row r="59" spans="1:8" x14ac:dyDescent="0.3">
      <c r="A59" s="2" t="s">
        <v>42</v>
      </c>
      <c r="B59" s="38"/>
      <c r="C59" s="39"/>
      <c r="D59" s="40">
        <v>250</v>
      </c>
      <c r="E59" s="49"/>
      <c r="F59" s="49">
        <v>610.75</v>
      </c>
      <c r="G59" s="49">
        <f>1057.93</f>
        <v>1057.93</v>
      </c>
      <c r="H59" t="s">
        <v>122</v>
      </c>
    </row>
    <row r="60" spans="1:8" x14ac:dyDescent="0.3">
      <c r="A60" s="2" t="s">
        <v>100</v>
      </c>
      <c r="B60" s="38"/>
      <c r="C60" s="39"/>
      <c r="D60" s="40">
        <v>225</v>
      </c>
      <c r="E60" s="49">
        <v>425.28</v>
      </c>
      <c r="F60" s="49">
        <v>155.88</v>
      </c>
      <c r="G60" s="49">
        <f>215.73</f>
        <v>215.73</v>
      </c>
    </row>
    <row r="61" spans="1:8" x14ac:dyDescent="0.3">
      <c r="A61" s="2" t="s">
        <v>43</v>
      </c>
      <c r="B61" s="38"/>
      <c r="C61" s="39"/>
      <c r="D61" s="41">
        <f>((((((((((D50)+(D51))+(D52))+(D53))+(D54))+(D55))+(D56))+(D57))+(D58))+(D59))+(D60)</f>
        <v>2465</v>
      </c>
      <c r="E61" s="53">
        <f>((((((((((E50)+(E51))+(E52))+(E53))+(E54))+(E55))+(E56))+(E57))+(E58))+(E59))+(E60)</f>
        <v>2873.2699999999995</v>
      </c>
      <c r="F61" s="53">
        <f>((((((((((F50)+(F51))+(F52))+(F53))+(F54))+(F55))+(F56))+(F57))+(F58))+(F59))+(F60)</f>
        <v>4400.54</v>
      </c>
      <c r="G61" s="53">
        <f>((((((((((G50)+(G51))+(G52))+(G53))+(G54))+(G55))+(G56))+(G57))+(G58))+(G59))+(G60)</f>
        <v>4192.91</v>
      </c>
    </row>
    <row r="62" spans="1:8" x14ac:dyDescent="0.3">
      <c r="A62" s="2" t="s">
        <v>44</v>
      </c>
      <c r="B62" s="38"/>
      <c r="C62" s="39"/>
      <c r="D62" s="40"/>
      <c r="E62" s="49"/>
      <c r="F62" s="50"/>
      <c r="G62" s="50"/>
    </row>
    <row r="63" spans="1:8" x14ac:dyDescent="0.3">
      <c r="A63" s="2" t="s">
        <v>131</v>
      </c>
      <c r="B63" s="38">
        <v>160</v>
      </c>
      <c r="C63" s="39">
        <v>40</v>
      </c>
      <c r="D63" s="40">
        <f t="shared" si="0"/>
        <v>6400</v>
      </c>
      <c r="E63" s="49">
        <v>1640.42</v>
      </c>
      <c r="F63" s="49">
        <v>7517.43</v>
      </c>
      <c r="G63" s="49">
        <f>12139.73</f>
        <v>12139.73</v>
      </c>
    </row>
    <row r="64" spans="1:8" x14ac:dyDescent="0.3">
      <c r="A64" s="2" t="s">
        <v>79</v>
      </c>
      <c r="B64" s="38">
        <v>36</v>
      </c>
      <c r="C64" s="39">
        <v>75</v>
      </c>
      <c r="D64" s="40">
        <f t="shared" si="0"/>
        <v>2700</v>
      </c>
      <c r="E64" s="49">
        <v>260.18</v>
      </c>
      <c r="F64" s="49">
        <v>4578.8</v>
      </c>
      <c r="G64" s="49">
        <f>4741.82</f>
        <v>4741.82</v>
      </c>
    </row>
    <row r="65" spans="1:8" x14ac:dyDescent="0.3">
      <c r="A65" s="2" t="s">
        <v>45</v>
      </c>
      <c r="B65" s="38"/>
      <c r="C65" s="39"/>
      <c r="D65" s="40">
        <v>500</v>
      </c>
      <c r="E65" s="49">
        <v>275</v>
      </c>
      <c r="F65" s="49">
        <f>200</f>
        <v>200</v>
      </c>
      <c r="G65" s="49">
        <f>300</f>
        <v>300</v>
      </c>
    </row>
    <row r="66" spans="1:8" x14ac:dyDescent="0.3">
      <c r="A66" s="2" t="s">
        <v>46</v>
      </c>
      <c r="B66" s="38"/>
      <c r="C66" s="39"/>
      <c r="D66" s="41">
        <f>SUM(D63:D65)</f>
        <v>9600</v>
      </c>
      <c r="E66" s="53">
        <f>SUM(E63:E65)</f>
        <v>2175.6000000000004</v>
      </c>
      <c r="F66" s="53">
        <f>SUM(F63:F65)</f>
        <v>12296.23</v>
      </c>
      <c r="G66" s="53">
        <f>SUM(G63:G65)</f>
        <v>17181.55</v>
      </c>
    </row>
    <row r="67" spans="1:8" x14ac:dyDescent="0.3">
      <c r="A67" s="2" t="s">
        <v>47</v>
      </c>
      <c r="B67" s="38"/>
      <c r="C67" s="39"/>
      <c r="D67" s="40">
        <f t="shared" si="0"/>
        <v>0</v>
      </c>
      <c r="E67" s="49">
        <v>88.45</v>
      </c>
      <c r="F67" s="49">
        <v>285.99</v>
      </c>
      <c r="G67" s="49">
        <f>51</f>
        <v>51</v>
      </c>
    </row>
    <row r="68" spans="1:8" x14ac:dyDescent="0.3">
      <c r="A68" s="2" t="s">
        <v>48</v>
      </c>
      <c r="B68" s="38"/>
      <c r="C68" s="39"/>
      <c r="D68" s="40">
        <v>0</v>
      </c>
      <c r="E68" s="49">
        <v>124.8</v>
      </c>
      <c r="F68" s="50"/>
      <c r="G68" s="49">
        <f>832.39</f>
        <v>832.39</v>
      </c>
    </row>
    <row r="69" spans="1:8" x14ac:dyDescent="0.3">
      <c r="A69" s="2" t="s">
        <v>49</v>
      </c>
      <c r="B69" s="38"/>
      <c r="C69" s="39"/>
      <c r="D69" s="40">
        <v>0</v>
      </c>
      <c r="E69" s="49"/>
      <c r="F69" s="50"/>
      <c r="G69" s="49">
        <f>229.75</f>
        <v>229.75</v>
      </c>
    </row>
    <row r="70" spans="1:8" x14ac:dyDescent="0.3">
      <c r="A70" s="2" t="s">
        <v>50</v>
      </c>
      <c r="B70" s="38"/>
      <c r="C70" s="39"/>
      <c r="D70" s="40">
        <v>0</v>
      </c>
      <c r="E70" s="49">
        <v>174.7</v>
      </c>
      <c r="F70" s="50"/>
      <c r="G70" s="49">
        <f>226.14</f>
        <v>226.14</v>
      </c>
    </row>
    <row r="71" spans="1:8" x14ac:dyDescent="0.3">
      <c r="A71" s="2" t="s">
        <v>51</v>
      </c>
      <c r="B71" s="38"/>
      <c r="C71" s="39"/>
      <c r="D71" s="42">
        <f t="shared" ref="D71" si="1">SUM(D67:D70)</f>
        <v>0</v>
      </c>
      <c r="E71" s="53">
        <f>SUM(E67:E70)</f>
        <v>387.95</v>
      </c>
      <c r="F71" s="53">
        <f>SUM(F67:F70)</f>
        <v>285.99</v>
      </c>
      <c r="G71" s="53">
        <f>SUM(G67:G70)</f>
        <v>1339.2799999999997</v>
      </c>
    </row>
    <row r="72" spans="1:8" x14ac:dyDescent="0.3">
      <c r="A72" s="2" t="s">
        <v>52</v>
      </c>
      <c r="B72" s="38"/>
      <c r="C72" s="39"/>
      <c r="D72" s="41">
        <f>(((((D32)+(D49))+(D61))+(D66))+(D71))</f>
        <v>16115</v>
      </c>
      <c r="E72" s="55">
        <f>(((((E32)+(E49))+(E61))+(E66))+(E71))</f>
        <v>6206.82</v>
      </c>
      <c r="F72" s="55">
        <f>(((((F32)+(F49))+(F61))+(F66))+(F71))</f>
        <v>18363.05</v>
      </c>
      <c r="G72" s="55">
        <f>(((((G32)+(G49))+(G61))+(G66))+(G71))</f>
        <v>28001.829999999998</v>
      </c>
    </row>
    <row r="73" spans="1:8" ht="15" thickBot="1" x14ac:dyDescent="0.35">
      <c r="A73" s="2" t="s">
        <v>53</v>
      </c>
      <c r="B73" s="38"/>
      <c r="C73" s="39"/>
      <c r="D73" s="45">
        <f>(D29)-(D72)</f>
        <v>0</v>
      </c>
      <c r="E73" s="56">
        <f>(E29)-(E72)</f>
        <v>4414.6000000000004</v>
      </c>
      <c r="F73" s="56">
        <f>(F29)-(F72)</f>
        <v>4031.6300000000047</v>
      </c>
      <c r="G73" s="56">
        <f>(G29)-(G72)</f>
        <v>470.50000000000364</v>
      </c>
    </row>
    <row r="74" spans="1:8" ht="15" thickTop="1" x14ac:dyDescent="0.3">
      <c r="A74" s="2" t="s">
        <v>54</v>
      </c>
      <c r="B74" s="38"/>
      <c r="C74" s="39"/>
      <c r="D74" s="40"/>
      <c r="E74" s="49"/>
      <c r="F74" s="50"/>
      <c r="G74" s="50"/>
    </row>
    <row r="75" spans="1:8" x14ac:dyDescent="0.3">
      <c r="A75" s="58" t="s">
        <v>55</v>
      </c>
      <c r="B75" s="59"/>
      <c r="C75" s="60"/>
      <c r="D75" s="61"/>
      <c r="E75" s="49">
        <v>5015.96</v>
      </c>
      <c r="F75" s="49">
        <v>879.89</v>
      </c>
      <c r="G75" s="49">
        <f>978.97</f>
        <v>978.97</v>
      </c>
      <c r="H75" s="47"/>
    </row>
    <row r="76" spans="1:8" x14ac:dyDescent="0.3">
      <c r="A76" s="2" t="s">
        <v>123</v>
      </c>
      <c r="B76" s="38"/>
      <c r="C76" s="39"/>
      <c r="D76" s="40"/>
      <c r="E76" s="49"/>
      <c r="F76" s="49"/>
      <c r="G76" s="49"/>
    </row>
    <row r="77" spans="1:8" x14ac:dyDescent="0.3">
      <c r="A77" s="2" t="s">
        <v>56</v>
      </c>
      <c r="B77" s="38"/>
      <c r="C77" s="39"/>
      <c r="D77" s="40">
        <v>0</v>
      </c>
      <c r="E77" s="49">
        <v>1399.59</v>
      </c>
      <c r="F77" s="49">
        <v>5332.7</v>
      </c>
      <c r="G77" s="49">
        <f>2324.47</f>
        <v>2324.4699999999998</v>
      </c>
    </row>
    <row r="78" spans="1:8" x14ac:dyDescent="0.3">
      <c r="A78" s="2" t="s">
        <v>57</v>
      </c>
      <c r="B78" s="38"/>
      <c r="C78" s="39"/>
      <c r="D78" s="40">
        <f>D75+D77</f>
        <v>0</v>
      </c>
      <c r="E78" s="53">
        <f>(E75)+(E77)</f>
        <v>6415.55</v>
      </c>
      <c r="F78" s="53">
        <f>(F75)+(F77)</f>
        <v>6212.59</v>
      </c>
      <c r="G78" s="53">
        <f>(G75)+(G77)</f>
        <v>3303.4399999999996</v>
      </c>
    </row>
    <row r="79" spans="1:8" x14ac:dyDescent="0.3">
      <c r="A79" s="2"/>
      <c r="B79" s="5"/>
      <c r="C79" s="6"/>
      <c r="D79"/>
      <c r="E79"/>
      <c r="F79" s="57"/>
      <c r="G79" s="57"/>
    </row>
    <row r="80" spans="1:8" x14ac:dyDescent="0.3">
      <c r="D80"/>
      <c r="E80"/>
    </row>
  </sheetData>
  <mergeCells count="4">
    <mergeCell ref="E3:G3"/>
    <mergeCell ref="B3:D3"/>
    <mergeCell ref="B4:D4"/>
    <mergeCell ref="C1:F1"/>
  </mergeCells>
  <pageMargins left="0.25" right="0.25" top="0.25" bottom="0.25" header="0.3" footer="0.3"/>
  <pageSetup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36487-170D-4628-8A9E-572B21F3FC4F}">
  <sheetPr>
    <pageSetUpPr fitToPage="1"/>
  </sheetPr>
  <dimension ref="A1:G35"/>
  <sheetViews>
    <sheetView topLeftCell="A10" workbookViewId="0">
      <selection activeCell="H9" sqref="H9:K9"/>
    </sheetView>
  </sheetViews>
  <sheetFormatPr defaultRowHeight="14.4" x14ac:dyDescent="0.3"/>
  <cols>
    <col min="1" max="1" width="49.88671875" bestFit="1" customWidth="1"/>
    <col min="2" max="2" width="9.109375" style="47"/>
    <col min="4" max="4" width="11.33203125" bestFit="1" customWidth="1"/>
    <col min="5" max="5" width="11" style="47" bestFit="1" customWidth="1"/>
    <col min="6" max="6" width="11.33203125" style="47" bestFit="1" customWidth="1"/>
    <col min="7" max="7" width="11.33203125" bestFit="1" customWidth="1"/>
  </cols>
  <sheetData>
    <row r="1" spans="1:7" ht="17.399999999999999" x14ac:dyDescent="0.3">
      <c r="A1" s="83" t="s">
        <v>75</v>
      </c>
      <c r="B1" s="83"/>
      <c r="C1" s="84"/>
      <c r="D1" s="84"/>
      <c r="E1" s="46"/>
      <c r="F1" s="46"/>
      <c r="G1" s="3"/>
    </row>
    <row r="2" spans="1:7" ht="17.399999999999999" x14ac:dyDescent="0.3">
      <c r="A2" s="83" t="s">
        <v>105</v>
      </c>
      <c r="B2" s="83"/>
      <c r="C2" s="84"/>
      <c r="D2" s="84"/>
      <c r="E2" s="46"/>
      <c r="F2" s="46"/>
      <c r="G2" s="3"/>
    </row>
    <row r="3" spans="1:7" x14ac:dyDescent="0.3">
      <c r="A3" s="85" t="s">
        <v>110</v>
      </c>
      <c r="B3" s="85"/>
      <c r="C3" s="84"/>
      <c r="D3" s="84"/>
      <c r="E3" s="46"/>
      <c r="F3" s="46"/>
      <c r="G3" s="3"/>
    </row>
    <row r="4" spans="1:7" x14ac:dyDescent="0.3">
      <c r="B4" s="73" t="s">
        <v>59</v>
      </c>
      <c r="C4" s="74"/>
      <c r="D4" s="75"/>
      <c r="E4" s="73" t="s">
        <v>58</v>
      </c>
      <c r="F4" s="74"/>
      <c r="G4" s="75"/>
    </row>
    <row r="5" spans="1:7" ht="24.6" x14ac:dyDescent="0.3">
      <c r="A5" s="1"/>
      <c r="B5" s="80" t="s">
        <v>60</v>
      </c>
      <c r="C5" s="81"/>
      <c r="D5" s="82"/>
      <c r="E5" s="63" t="s">
        <v>124</v>
      </c>
      <c r="F5" s="63" t="s">
        <v>107</v>
      </c>
      <c r="G5" s="9" t="s">
        <v>74</v>
      </c>
    </row>
    <row r="6" spans="1:7" x14ac:dyDescent="0.3">
      <c r="A6" s="14" t="s">
        <v>0</v>
      </c>
      <c r="B6" s="70" t="s">
        <v>61</v>
      </c>
      <c r="C6" s="12" t="s">
        <v>63</v>
      </c>
      <c r="D6" s="13" t="s">
        <v>62</v>
      </c>
      <c r="E6" s="48"/>
      <c r="F6" s="48"/>
      <c r="G6" s="10"/>
    </row>
    <row r="7" spans="1:7" x14ac:dyDescent="0.3">
      <c r="A7" s="15" t="s">
        <v>125</v>
      </c>
      <c r="B7" s="37">
        <v>25</v>
      </c>
      <c r="C7">
        <v>40</v>
      </c>
      <c r="D7" s="17">
        <f>SUM(B7*C7)</f>
        <v>1000</v>
      </c>
      <c r="E7" s="64">
        <v>0</v>
      </c>
      <c r="F7" s="64">
        <v>0</v>
      </c>
      <c r="G7" s="18"/>
    </row>
    <row r="8" spans="1:7" x14ac:dyDescent="0.3">
      <c r="A8" s="15" t="s">
        <v>126</v>
      </c>
      <c r="B8" s="37">
        <v>0</v>
      </c>
      <c r="C8" s="16">
        <v>40</v>
      </c>
      <c r="D8" s="17">
        <f>SUM(B8*C8)</f>
        <v>0</v>
      </c>
      <c r="E8" s="64">
        <v>0</v>
      </c>
      <c r="F8" s="64">
        <v>0</v>
      </c>
      <c r="G8" s="18">
        <v>1846.55</v>
      </c>
    </row>
    <row r="9" spans="1:7" x14ac:dyDescent="0.3">
      <c r="A9" s="15" t="s">
        <v>132</v>
      </c>
      <c r="B9" s="37">
        <v>25</v>
      </c>
      <c r="C9" s="16">
        <v>40</v>
      </c>
      <c r="D9" s="17">
        <f>SUM(B9*C9)</f>
        <v>1000</v>
      </c>
      <c r="E9" s="64">
        <v>680</v>
      </c>
      <c r="F9" s="64">
        <v>0</v>
      </c>
      <c r="G9" s="18">
        <v>1408.28</v>
      </c>
    </row>
    <row r="10" spans="1:7" x14ac:dyDescent="0.3">
      <c r="A10" s="15" t="s">
        <v>99</v>
      </c>
      <c r="B10" s="37">
        <v>1</v>
      </c>
      <c r="C10" s="16">
        <v>0</v>
      </c>
      <c r="D10" s="17">
        <f>SUM(B10*C10)</f>
        <v>0</v>
      </c>
      <c r="E10" s="64">
        <v>0</v>
      </c>
      <c r="F10" s="64">
        <v>0</v>
      </c>
      <c r="G10" s="18">
        <v>0</v>
      </c>
    </row>
    <row r="11" spans="1:7" x14ac:dyDescent="0.3">
      <c r="A11" s="15" t="s">
        <v>102</v>
      </c>
      <c r="B11" s="37">
        <v>1</v>
      </c>
      <c r="C11" s="16">
        <v>1000</v>
      </c>
      <c r="D11" s="17">
        <v>1000</v>
      </c>
      <c r="E11" s="64">
        <v>1905</v>
      </c>
      <c r="F11" s="64">
        <v>1495.96</v>
      </c>
      <c r="G11" s="18">
        <v>1263.58</v>
      </c>
    </row>
    <row r="12" spans="1:7" x14ac:dyDescent="0.3">
      <c r="A12" s="19" t="s">
        <v>81</v>
      </c>
      <c r="B12" s="71">
        <v>1</v>
      </c>
      <c r="C12" s="20">
        <v>1000</v>
      </c>
      <c r="D12" s="21">
        <v>1000</v>
      </c>
      <c r="E12" s="64">
        <v>1252.03</v>
      </c>
      <c r="F12" s="64">
        <v>2065</v>
      </c>
      <c r="G12" s="22">
        <v>1850</v>
      </c>
    </row>
    <row r="13" spans="1:7" ht="15" thickBot="1" x14ac:dyDescent="0.35">
      <c r="A13" s="23" t="s">
        <v>82</v>
      </c>
      <c r="B13" s="72"/>
      <c r="C13" s="16"/>
      <c r="D13" s="24">
        <f>SUM(D7:D12)</f>
        <v>4000</v>
      </c>
      <c r="E13" s="65">
        <f>SUM(E7:E12)</f>
        <v>3837.0299999999997</v>
      </c>
      <c r="F13" s="65">
        <f>SUM(F7:F12)</f>
        <v>3560.96</v>
      </c>
      <c r="G13" s="25">
        <f>SUM(G7:G12)</f>
        <v>6368.41</v>
      </c>
    </row>
    <row r="14" spans="1:7" ht="15" thickTop="1" x14ac:dyDescent="0.3">
      <c r="A14" s="15"/>
      <c r="B14" s="37"/>
      <c r="C14" s="16"/>
      <c r="D14" s="17"/>
      <c r="E14" s="64"/>
      <c r="F14" s="64"/>
      <c r="G14" s="18"/>
    </row>
    <row r="15" spans="1:7" x14ac:dyDescent="0.3">
      <c r="A15" s="23" t="s">
        <v>83</v>
      </c>
      <c r="B15" s="72"/>
      <c r="C15" s="16"/>
      <c r="D15" s="17"/>
      <c r="E15" s="64"/>
      <c r="F15" s="64"/>
      <c r="G15" s="18"/>
    </row>
    <row r="16" spans="1:7" x14ac:dyDescent="0.3">
      <c r="A16" s="15" t="s">
        <v>84</v>
      </c>
      <c r="B16" s="37"/>
      <c r="C16" s="16"/>
      <c r="D16" s="17"/>
      <c r="E16" s="64"/>
      <c r="F16" s="64"/>
      <c r="G16" s="18"/>
    </row>
    <row r="17" spans="1:7" x14ac:dyDescent="0.3">
      <c r="A17" s="15" t="s">
        <v>128</v>
      </c>
      <c r="B17" s="37"/>
      <c r="C17" s="16">
        <v>6000</v>
      </c>
      <c r="D17" s="17">
        <f>C17</f>
        <v>6000</v>
      </c>
      <c r="E17" s="64">
        <v>6000</v>
      </c>
      <c r="F17" s="64">
        <v>6000</v>
      </c>
      <c r="G17" s="18">
        <v>6000</v>
      </c>
    </row>
    <row r="18" spans="1:7" x14ac:dyDescent="0.3">
      <c r="A18" s="15" t="s">
        <v>85</v>
      </c>
      <c r="B18" s="37"/>
      <c r="C18" s="16"/>
      <c r="D18" s="17"/>
      <c r="E18" s="64"/>
      <c r="F18" s="64"/>
      <c r="G18" s="18">
        <v>1410</v>
      </c>
    </row>
    <row r="19" spans="1:7" x14ac:dyDescent="0.3">
      <c r="A19" s="15" t="s">
        <v>86</v>
      </c>
      <c r="B19" s="37"/>
      <c r="C19" s="36"/>
      <c r="D19" s="7"/>
      <c r="E19" s="64">
        <v>6000</v>
      </c>
      <c r="F19" s="64"/>
      <c r="G19" s="18">
        <v>6000</v>
      </c>
    </row>
    <row r="20" spans="1:7" x14ac:dyDescent="0.3">
      <c r="A20" s="15" t="s">
        <v>127</v>
      </c>
      <c r="B20" s="37"/>
      <c r="C20" s="16">
        <v>6000</v>
      </c>
      <c r="D20" s="17">
        <v>6000</v>
      </c>
      <c r="E20" s="64"/>
      <c r="F20" s="64">
        <v>6000</v>
      </c>
      <c r="G20" s="26"/>
    </row>
    <row r="21" spans="1:7" x14ac:dyDescent="0.3">
      <c r="A21" s="35" t="s">
        <v>87</v>
      </c>
      <c r="B21" s="37"/>
      <c r="C21" s="16"/>
      <c r="D21" s="27">
        <f>SUM(D17:D20)</f>
        <v>12000</v>
      </c>
      <c r="E21" s="66">
        <f>SUM(E17:E20)</f>
        <v>12000</v>
      </c>
      <c r="F21" s="66">
        <f>SUM(F17:F20)</f>
        <v>12000</v>
      </c>
      <c r="G21" s="28">
        <f>SUM(G17:G20)</f>
        <v>13410</v>
      </c>
    </row>
    <row r="22" spans="1:7" x14ac:dyDescent="0.3">
      <c r="A22" s="15" t="s">
        <v>88</v>
      </c>
      <c r="B22" s="37"/>
      <c r="C22" s="16"/>
      <c r="D22" s="17"/>
      <c r="E22" s="64"/>
      <c r="F22" s="64"/>
      <c r="G22" s="18"/>
    </row>
    <row r="23" spans="1:7" x14ac:dyDescent="0.3">
      <c r="A23" s="15" t="s">
        <v>103</v>
      </c>
      <c r="B23" s="37">
        <v>25</v>
      </c>
      <c r="C23" s="16">
        <v>40</v>
      </c>
      <c r="D23" s="16">
        <f>SUM(B23*C23)</f>
        <v>1000</v>
      </c>
      <c r="E23" s="64">
        <v>0</v>
      </c>
      <c r="F23" s="64">
        <v>0</v>
      </c>
      <c r="G23" s="18"/>
    </row>
    <row r="24" spans="1:7" x14ac:dyDescent="0.3">
      <c r="A24" s="15" t="s">
        <v>89</v>
      </c>
      <c r="B24" s="37">
        <v>10</v>
      </c>
      <c r="C24" s="16">
        <v>40</v>
      </c>
      <c r="D24" s="16">
        <f>SUM(B24*C24)</f>
        <v>400</v>
      </c>
      <c r="E24" s="64">
        <v>0</v>
      </c>
      <c r="F24" s="64">
        <v>0</v>
      </c>
      <c r="G24" s="18"/>
    </row>
    <row r="25" spans="1:7" x14ac:dyDescent="0.3">
      <c r="A25" s="15" t="s">
        <v>104</v>
      </c>
      <c r="B25" s="37">
        <v>0</v>
      </c>
      <c r="C25" s="16">
        <v>40</v>
      </c>
      <c r="D25" s="17">
        <v>0</v>
      </c>
      <c r="E25" s="67">
        <v>0</v>
      </c>
      <c r="F25" s="64">
        <v>0</v>
      </c>
      <c r="G25" s="18"/>
    </row>
    <row r="26" spans="1:7" x14ac:dyDescent="0.3">
      <c r="A26" s="15" t="s">
        <v>90</v>
      </c>
      <c r="B26" s="37">
        <v>0</v>
      </c>
      <c r="C26" s="16">
        <v>40</v>
      </c>
      <c r="D26" s="17">
        <f t="shared" ref="D26:D31" si="0">SUM(B26*C26)</f>
        <v>0</v>
      </c>
      <c r="E26" s="67">
        <v>0</v>
      </c>
      <c r="F26" s="64">
        <v>0</v>
      </c>
      <c r="G26" s="18"/>
    </row>
    <row r="27" spans="1:7" x14ac:dyDescent="0.3">
      <c r="A27" s="15" t="s">
        <v>91</v>
      </c>
      <c r="B27" s="37">
        <v>3</v>
      </c>
      <c r="C27" s="20">
        <v>100</v>
      </c>
      <c r="D27" s="17">
        <f t="shared" si="0"/>
        <v>300</v>
      </c>
      <c r="E27" s="67">
        <v>0</v>
      </c>
      <c r="F27" s="67">
        <v>302.45</v>
      </c>
      <c r="G27" s="18">
        <v>300</v>
      </c>
    </row>
    <row r="28" spans="1:7" x14ac:dyDescent="0.3">
      <c r="A28" s="15" t="s">
        <v>92</v>
      </c>
      <c r="B28" s="37">
        <v>1</v>
      </c>
      <c r="C28" s="16">
        <v>100</v>
      </c>
      <c r="D28" s="17">
        <f t="shared" si="0"/>
        <v>100</v>
      </c>
      <c r="E28" s="67">
        <v>0</v>
      </c>
      <c r="F28" s="67">
        <v>0</v>
      </c>
      <c r="G28" s="18"/>
    </row>
    <row r="29" spans="1:7" x14ac:dyDescent="0.3">
      <c r="A29" s="15" t="s">
        <v>93</v>
      </c>
      <c r="B29" s="37">
        <v>1</v>
      </c>
      <c r="C29" s="16">
        <v>350</v>
      </c>
      <c r="D29" s="17">
        <f t="shared" si="0"/>
        <v>350</v>
      </c>
      <c r="E29" s="67">
        <v>0</v>
      </c>
      <c r="F29" s="67">
        <v>0</v>
      </c>
      <c r="G29" s="18"/>
    </row>
    <row r="30" spans="1:7" x14ac:dyDescent="0.3">
      <c r="A30" s="15" t="s">
        <v>106</v>
      </c>
      <c r="B30" s="37">
        <v>2</v>
      </c>
      <c r="C30" s="16">
        <v>40</v>
      </c>
      <c r="D30" s="17">
        <f t="shared" si="0"/>
        <v>80</v>
      </c>
      <c r="E30" s="67">
        <v>40</v>
      </c>
      <c r="F30" s="67">
        <v>0</v>
      </c>
      <c r="G30" s="18"/>
    </row>
    <row r="31" spans="1:7" x14ac:dyDescent="0.3">
      <c r="A31" s="15" t="s">
        <v>94</v>
      </c>
      <c r="B31" s="37">
        <v>25</v>
      </c>
      <c r="C31" s="16">
        <v>40</v>
      </c>
      <c r="D31" s="29">
        <f t="shared" si="0"/>
        <v>1000</v>
      </c>
      <c r="E31" s="67">
        <v>970.11</v>
      </c>
      <c r="F31" s="67">
        <v>0</v>
      </c>
      <c r="G31" s="18">
        <v>1377.66</v>
      </c>
    </row>
    <row r="32" spans="1:7" x14ac:dyDescent="0.3">
      <c r="A32" s="35" t="s">
        <v>95</v>
      </c>
      <c r="B32" s="37"/>
      <c r="C32" s="16"/>
      <c r="D32" s="30">
        <f>SUM(D23:D31)</f>
        <v>3230</v>
      </c>
      <c r="E32" s="68">
        <f>SUM(E23:E31)</f>
        <v>1010.11</v>
      </c>
      <c r="F32" s="68">
        <f>SUM(F23:F31)</f>
        <v>302.45</v>
      </c>
      <c r="G32" s="31">
        <f>SUM(G23:G31)</f>
        <v>1677.66</v>
      </c>
    </row>
    <row r="33" spans="1:7" x14ac:dyDescent="0.3">
      <c r="A33" s="15" t="s">
        <v>98</v>
      </c>
      <c r="B33" s="37"/>
      <c r="C33" s="16"/>
      <c r="D33" s="32">
        <v>120</v>
      </c>
      <c r="E33" s="67">
        <v>0</v>
      </c>
      <c r="F33" s="67">
        <v>108.31</v>
      </c>
      <c r="G33" s="33">
        <v>97.67</v>
      </c>
    </row>
    <row r="34" spans="1:7" ht="15" thickBot="1" x14ac:dyDescent="0.35">
      <c r="A34" s="23" t="s">
        <v>96</v>
      </c>
      <c r="B34" s="72"/>
      <c r="C34" s="16"/>
      <c r="D34" s="24">
        <f>D21+D32+D33</f>
        <v>15350</v>
      </c>
      <c r="E34" s="65">
        <f>E21+E32+E33</f>
        <v>13010.11</v>
      </c>
      <c r="F34" s="65">
        <f>F21+F32+F33</f>
        <v>12410.76</v>
      </c>
      <c r="G34" s="25">
        <f>G21+G32+G33</f>
        <v>15185.33</v>
      </c>
    </row>
    <row r="35" spans="1:7" ht="15" thickTop="1" x14ac:dyDescent="0.3">
      <c r="A35" s="35" t="s">
        <v>97</v>
      </c>
      <c r="B35" s="37"/>
      <c r="C35" s="16"/>
      <c r="D35" s="34">
        <f>D13-D34</f>
        <v>-11350</v>
      </c>
      <c r="E35" s="69">
        <f>E13-E34</f>
        <v>-9173.0800000000017</v>
      </c>
      <c r="F35" s="69">
        <f>F13-F34</f>
        <v>-8849.7999999999993</v>
      </c>
      <c r="G35" s="28">
        <f>G13-G34</f>
        <v>-8816.92</v>
      </c>
    </row>
  </sheetData>
  <mergeCells count="6">
    <mergeCell ref="E4:G4"/>
    <mergeCell ref="B5:D5"/>
    <mergeCell ref="A1:D1"/>
    <mergeCell ref="A2:D2"/>
    <mergeCell ref="A3:D3"/>
    <mergeCell ref="B4:D4"/>
  </mergeCells>
  <pageMargins left="0.7" right="0.7" top="0.75" bottom="0.75" header="0.3" footer="0.3"/>
  <pageSetup scale="60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B678C6971AEA7469678426E02A79E74" ma:contentTypeVersion="13" ma:contentTypeDescription="Create a new document." ma:contentTypeScope="" ma:versionID="d92acd91324a70f79bcbb1c2b24e9fed">
  <xsd:schema xmlns:xsd="http://www.w3.org/2001/XMLSchema" xmlns:xs="http://www.w3.org/2001/XMLSchema" xmlns:p="http://schemas.microsoft.com/office/2006/metadata/properties" xmlns:ns3="3e42738f-fb08-4627-83fa-26e8ddb844ea" xmlns:ns4="ecdbc63b-b033-4e27-baac-78b2bd200069" targetNamespace="http://schemas.microsoft.com/office/2006/metadata/properties" ma:root="true" ma:fieldsID="29c3e1fc1a94b8b37037fd0778f39d7f" ns3:_="" ns4:_="">
    <xsd:import namespace="3e42738f-fb08-4627-83fa-26e8ddb844ea"/>
    <xsd:import namespace="ecdbc63b-b033-4e27-baac-78b2bd20006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42738f-fb08-4627-83fa-26e8ddb844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dbc63b-b033-4e27-baac-78b2bd200069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1BE3A5F-10AE-4B70-B0B7-05A2FAD62A9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1A7D99C-6E34-44F9-8515-7AA97036539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9331BFB-106E-412A-946E-065E44CA27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42738f-fb08-4627-83fa-26e8ddb844ea"/>
    <ds:schemaRef ds:uri="ecdbc63b-b033-4e27-baac-78b2bd2000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Op Budget</vt:lpstr>
      <vt:lpstr>BCDP Budget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Marjorie Yoshida</cp:lastModifiedBy>
  <cp:lastPrinted>2021-08-20T13:23:11Z</cp:lastPrinted>
  <dcterms:created xsi:type="dcterms:W3CDTF">2020-07-25T17:13:34Z</dcterms:created>
  <dcterms:modified xsi:type="dcterms:W3CDTF">2021-08-20T13:56:39Z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0x0101001B678C6971AEA7469678426E02A79E74</vt:lpwstr>
  </property>
</Properties>
</file>