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der09\Google Drive\PRO-GEEKTECH FILES\Documents &amp; Forms, Contracts\"/>
    </mc:Choice>
  </mc:AlternateContent>
  <bookViews>
    <workbookView xWindow="15" yWindow="0" windowWidth="25365" windowHeight="14640"/>
  </bookViews>
  <sheets>
    <sheet name="ALLMedia" sheetId="6" r:id="rId1"/>
    <sheet name="Google Ads" sheetId="8" r:id="rId2"/>
    <sheet name="Social Media" sheetId="14" r:id="rId3"/>
    <sheet name="Google Analytics" sheetId="15" r:id="rId4"/>
    <sheet name="EarnedMedia" sheetId="9" r:id="rId5"/>
    <sheet name="YOY" sheetId="11" r:id="rId6"/>
  </sheets>
  <definedNames>
    <definedName name="adwords">YOY!$F$7:$F$14</definedName>
    <definedName name="AdwordsTable">'Google Ads'!$A$6:$P$16</definedName>
    <definedName name="Analytics">YOY!$J$7:$J$18</definedName>
    <definedName name="Analytics_lookup">'Google Analytics'!$A$6:$A$18</definedName>
    <definedName name="Analytics_MonthsROW">'Google Analytics'!$B$5:$N$5</definedName>
    <definedName name="AnalyticsTABLE">'Google Analytics'!$A$5:$N$19</definedName>
    <definedName name="FacebookTABLE">'Social Media'!$A$4:$N$16</definedName>
    <definedName name="InstagramTABLE">'Social Media'!$A$19:$N$31</definedName>
    <definedName name="Months">YOY!$D$7:$D$19</definedName>
    <definedName name="NetworkDisplayTABLE">'Google Ads'!$A$19:$P$29</definedName>
    <definedName name="ORB_V1_sh10_130506052716394">YOY!$B$1</definedName>
    <definedName name="ORB_V1_sh10_130506052716409">YOY!$B$2</definedName>
    <definedName name="ORB_V1_sh10_130506052747531">YOY!$A$5</definedName>
    <definedName name="ORB_V1_sh10_130506053551412">YOY!$A$9</definedName>
    <definedName name="ORB_V1_sh10_130506053651084">YOY!$B$1</definedName>
    <definedName name="ORB_V1_sh10_130506053651099">YOY!$B$2</definedName>
    <definedName name="ORB_V1_sh10_130506095310431">YOY!$A$13</definedName>
    <definedName name="ORB_V1_sh10_130506095336148">YOY!$B$1</definedName>
    <definedName name="ORB_V1_sh10_130506095336163">YOY!$B$2</definedName>
    <definedName name="ORB_V1_sh10_130506100406594">YOY!$A$17</definedName>
    <definedName name="ORB_V1_sh10_130506100409121">YOY!$B$1</definedName>
    <definedName name="ORB_V1_sh10_130506100409137">YOY!$B$2</definedName>
    <definedName name="ORB_V1_sh10_130506100951289">YOY!$B$27</definedName>
    <definedName name="ORB_V1_sh10_130506100953957">YOY!$B$1</definedName>
    <definedName name="ORB_V1_sh10_130506100953972">YOY!$B$2</definedName>
    <definedName name="ORB_V1_sh10_130506101028201">YOY!$D$27</definedName>
    <definedName name="ORB_V1_sh10_130506101030775">YOY!$B$1</definedName>
    <definedName name="ORB_V1_sh10_130506101030791">YOY!$B$2</definedName>
    <definedName name="ORB_V1_sh10_130506102312540">YOY!$G$9</definedName>
    <definedName name="ORB_V1_sh10_130506102318562">YOY!$B$1</definedName>
    <definedName name="ORB_V1_sh10_130506102318578">YOY!$B$2</definedName>
    <definedName name="_xlnm.Print_Area" localSheetId="0">ALLMedia!$A$1:$O$40</definedName>
    <definedName name="_xlnm.Print_Area" localSheetId="4">EarnedMedia!$A$1:$H$15</definedName>
    <definedName name="_xlnm.Print_Area" localSheetId="1">'Google Ads'!$A$2:$P$52</definedName>
    <definedName name="_xlnm.Print_Area" localSheetId="3">'Google Analytics'!$A$1:$O$38</definedName>
    <definedName name="_xlnm.Print_Area" localSheetId="2">'Social Media'!$A$1:$K$16</definedName>
    <definedName name="socialMedia">YOY!$H$7:$H$16</definedName>
    <definedName name="socialMediaTABLE">'Social Media'!$A$33:$N$45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4" l="1"/>
  <c r="N31" i="14"/>
  <c r="C31" i="14"/>
  <c r="D31" i="14"/>
  <c r="E31" i="14"/>
  <c r="F31" i="14"/>
  <c r="G31" i="14"/>
  <c r="H31" i="14"/>
  <c r="I31" i="14"/>
  <c r="J31" i="14"/>
  <c r="K31" i="14"/>
  <c r="L31" i="14"/>
  <c r="M31" i="14"/>
  <c r="B31" i="14"/>
  <c r="D16" i="14"/>
  <c r="C16" i="14"/>
  <c r="E16" i="14"/>
  <c r="F16" i="14"/>
  <c r="H16" i="14"/>
  <c r="I16" i="14"/>
  <c r="J16" i="14"/>
  <c r="K16" i="14"/>
  <c r="L16" i="14"/>
  <c r="M16" i="14"/>
  <c r="B16" i="14"/>
  <c r="N16" i="8"/>
  <c r="C16" i="8"/>
  <c r="D16" i="8"/>
  <c r="E16" i="8"/>
  <c r="F16" i="8"/>
  <c r="G16" i="8"/>
  <c r="H16" i="8"/>
  <c r="I16" i="8"/>
  <c r="J16" i="8"/>
  <c r="K16" i="8"/>
  <c r="L16" i="8"/>
  <c r="M16" i="8"/>
  <c r="B16" i="8"/>
  <c r="C36" i="14"/>
  <c r="D36" i="14"/>
  <c r="E36" i="14"/>
  <c r="F36" i="14"/>
  <c r="G36" i="14"/>
  <c r="H36" i="14"/>
  <c r="I36" i="14"/>
  <c r="J36" i="14"/>
  <c r="K36" i="14"/>
  <c r="L36" i="14"/>
  <c r="M36" i="14"/>
  <c r="B36" i="14"/>
  <c r="I7" i="6"/>
  <c r="B18" i="15"/>
  <c r="C18" i="15"/>
  <c r="G7" i="8"/>
  <c r="F7" i="8"/>
  <c r="E7" i="8"/>
  <c r="D7" i="8"/>
  <c r="C7" i="8"/>
  <c r="B7" i="8"/>
  <c r="N5" i="14"/>
  <c r="B34" i="14"/>
  <c r="N34" i="14" s="1"/>
  <c r="N24" i="14"/>
  <c r="N25" i="14"/>
  <c r="N26" i="14"/>
  <c r="N28" i="14"/>
  <c r="N29" i="14"/>
  <c r="N30" i="14"/>
  <c r="N21" i="14"/>
  <c r="N20" i="14"/>
  <c r="C13" i="14"/>
  <c r="C12" i="14"/>
  <c r="L6" i="15" l="1"/>
  <c r="M27" i="8"/>
  <c r="M22" i="8"/>
  <c r="M14" i="8"/>
  <c r="M12" i="8"/>
  <c r="M9" i="8"/>
  <c r="K9" i="6" l="1"/>
  <c r="C29" i="8"/>
  <c r="D29" i="8"/>
  <c r="E29" i="8"/>
  <c r="F29" i="8"/>
  <c r="G29" i="8"/>
  <c r="H29" i="8"/>
  <c r="I29" i="8"/>
  <c r="J29" i="8"/>
  <c r="K29" i="8"/>
  <c r="L29" i="8"/>
  <c r="M29" i="8"/>
  <c r="B29" i="8"/>
  <c r="J8" i="6"/>
  <c r="C38" i="14"/>
  <c r="B38" i="14"/>
  <c r="E8" i="6"/>
  <c r="B7" i="9"/>
  <c r="G7" i="9" s="1"/>
  <c r="E7" i="6"/>
  <c r="M45" i="14"/>
  <c r="L45" i="14"/>
  <c r="K45" i="14"/>
  <c r="J45" i="14"/>
  <c r="I45" i="14"/>
  <c r="H45" i="14"/>
  <c r="G45" i="14"/>
  <c r="F45" i="14"/>
  <c r="B10" i="9" s="1"/>
  <c r="G10" i="9" s="1"/>
  <c r="E45" i="14"/>
  <c r="D45" i="14"/>
  <c r="C45" i="14"/>
  <c r="B45" i="14"/>
  <c r="N16" i="14"/>
  <c r="D8" i="6"/>
  <c r="B13" i="9"/>
  <c r="G13" i="9" s="1"/>
  <c r="G4" i="9"/>
  <c r="D18" i="15"/>
  <c r="E18" i="15"/>
  <c r="F18" i="15"/>
  <c r="G18" i="15"/>
  <c r="H18" i="15"/>
  <c r="I18" i="15"/>
  <c r="J18" i="15"/>
  <c r="K18" i="15"/>
  <c r="L18" i="15"/>
  <c r="M18" i="15"/>
  <c r="P20" i="8"/>
  <c r="N20" i="8"/>
  <c r="B22" i="8"/>
  <c r="B27" i="8"/>
  <c r="G5" i="9"/>
  <c r="G6" i="9"/>
  <c r="G8" i="9"/>
  <c r="G9" i="9"/>
  <c r="G11" i="9"/>
  <c r="G12" i="9"/>
  <c r="E7" i="9"/>
  <c r="E10" i="9"/>
  <c r="E6" i="9"/>
  <c r="E5" i="9"/>
  <c r="N18" i="15" l="1"/>
  <c r="E6" i="6"/>
  <c r="N45" i="14"/>
  <c r="K8" i="6"/>
  <c r="B14" i="9"/>
  <c r="M25" i="8"/>
  <c r="N8" i="11"/>
  <c r="N9" i="11"/>
  <c r="N10" i="11"/>
  <c r="N11" i="11"/>
  <c r="N12" i="11"/>
  <c r="N13" i="11"/>
  <c r="N14" i="11"/>
  <c r="N7" i="11"/>
  <c r="H8" i="6" l="1"/>
  <c r="F8" i="6"/>
  <c r="I8" i="6" s="1"/>
  <c r="P24" i="8"/>
  <c r="P23" i="8"/>
  <c r="P21" i="8"/>
  <c r="M9" i="11" s="1"/>
  <c r="L27" i="8"/>
  <c r="K27" i="8"/>
  <c r="J27" i="8"/>
  <c r="I27" i="8"/>
  <c r="H27" i="8"/>
  <c r="G27" i="8"/>
  <c r="F27" i="8"/>
  <c r="E27" i="8"/>
  <c r="D27" i="8"/>
  <c r="C27" i="8"/>
  <c r="M26" i="8"/>
  <c r="L26" i="8"/>
  <c r="K26" i="8"/>
  <c r="J26" i="8"/>
  <c r="I26" i="8"/>
  <c r="H26" i="8"/>
  <c r="G26" i="8"/>
  <c r="F26" i="8"/>
  <c r="E26" i="8"/>
  <c r="D26" i="8"/>
  <c r="C26" i="8"/>
  <c r="B26" i="8"/>
  <c r="L25" i="8"/>
  <c r="K25" i="8"/>
  <c r="J25" i="8"/>
  <c r="I25" i="8"/>
  <c r="H25" i="8"/>
  <c r="G25" i="8"/>
  <c r="F25" i="8"/>
  <c r="E25" i="8"/>
  <c r="D25" i="8"/>
  <c r="C25" i="8"/>
  <c r="B25" i="8"/>
  <c r="N24" i="8"/>
  <c r="N23" i="8"/>
  <c r="L22" i="8"/>
  <c r="K22" i="8"/>
  <c r="J22" i="8"/>
  <c r="I22" i="8"/>
  <c r="H22" i="8"/>
  <c r="G22" i="8"/>
  <c r="F22" i="8"/>
  <c r="E22" i="8"/>
  <c r="D22" i="8"/>
  <c r="C22" i="8"/>
  <c r="N21" i="8"/>
  <c r="D7" i="6"/>
  <c r="M42" i="14"/>
  <c r="M40" i="14"/>
  <c r="C44" i="14"/>
  <c r="D44" i="14"/>
  <c r="E44" i="14"/>
  <c r="F44" i="14"/>
  <c r="G44" i="14"/>
  <c r="H44" i="14"/>
  <c r="I44" i="14"/>
  <c r="J44" i="14"/>
  <c r="K44" i="14"/>
  <c r="L44" i="14"/>
  <c r="M44" i="14"/>
  <c r="C43" i="14"/>
  <c r="D43" i="14"/>
  <c r="E43" i="14"/>
  <c r="F43" i="14"/>
  <c r="G43" i="14"/>
  <c r="H43" i="14"/>
  <c r="I43" i="14"/>
  <c r="J43" i="14"/>
  <c r="K43" i="14"/>
  <c r="L43" i="14"/>
  <c r="M43" i="14"/>
  <c r="M41" i="14"/>
  <c r="B41" i="14"/>
  <c r="C39" i="14"/>
  <c r="D39" i="14"/>
  <c r="E39" i="14"/>
  <c r="F39" i="14"/>
  <c r="G39" i="14"/>
  <c r="F7" i="6" s="1"/>
  <c r="H39" i="14"/>
  <c r="I39" i="14"/>
  <c r="J39" i="14"/>
  <c r="K39" i="14"/>
  <c r="L39" i="14"/>
  <c r="M39" i="14"/>
  <c r="D38" i="14"/>
  <c r="E38" i="14"/>
  <c r="F38" i="14"/>
  <c r="G38" i="14"/>
  <c r="H38" i="14"/>
  <c r="I38" i="14"/>
  <c r="J38" i="14"/>
  <c r="K38" i="14"/>
  <c r="L38" i="14"/>
  <c r="M38" i="14"/>
  <c r="C35" i="14"/>
  <c r="D35" i="14"/>
  <c r="E35" i="14"/>
  <c r="F35" i="14"/>
  <c r="G35" i="14"/>
  <c r="H35" i="14"/>
  <c r="I35" i="14"/>
  <c r="J35" i="14"/>
  <c r="K35" i="14"/>
  <c r="L35" i="14"/>
  <c r="M35" i="14"/>
  <c r="C34" i="14"/>
  <c r="D34" i="14"/>
  <c r="E34" i="14"/>
  <c r="F34" i="14"/>
  <c r="G34" i="14"/>
  <c r="H7" i="6" s="1"/>
  <c r="H34" i="14"/>
  <c r="I34" i="14"/>
  <c r="J34" i="14"/>
  <c r="K34" i="14"/>
  <c r="L34" i="14"/>
  <c r="M34" i="14"/>
  <c r="B44" i="14"/>
  <c r="B43" i="14"/>
  <c r="B39" i="14"/>
  <c r="B35" i="14"/>
  <c r="J6" i="6"/>
  <c r="K6" i="6" s="1"/>
  <c r="H6" i="6"/>
  <c r="F6" i="6"/>
  <c r="I13" i="8"/>
  <c r="J13" i="8"/>
  <c r="K13" i="8"/>
  <c r="L13" i="8"/>
  <c r="M13" i="8"/>
  <c r="H13" i="8"/>
  <c r="G13" i="8"/>
  <c r="F13" i="8"/>
  <c r="E13" i="8"/>
  <c r="D13" i="8"/>
  <c r="C13" i="8"/>
  <c r="B13" i="8"/>
  <c r="B12" i="8"/>
  <c r="H6" i="15"/>
  <c r="I6" i="15"/>
  <c r="J6" i="15"/>
  <c r="K6" i="15"/>
  <c r="M6" i="15"/>
  <c r="G6" i="15"/>
  <c r="F6" i="15"/>
  <c r="D6" i="6" s="1"/>
  <c r="E6" i="15"/>
  <c r="D6" i="15"/>
  <c r="C6" i="15"/>
  <c r="B6" i="15"/>
  <c r="E4" i="9" s="1"/>
  <c r="J7" i="6" l="1"/>
  <c r="K7" i="6" s="1"/>
  <c r="N35" i="14"/>
  <c r="N43" i="14"/>
  <c r="N44" i="14"/>
  <c r="M15" i="6"/>
  <c r="N38" i="14"/>
  <c r="P25" i="8"/>
  <c r="P22" i="8"/>
  <c r="N26" i="8"/>
  <c r="P26" i="8" s="1"/>
  <c r="N27" i="8"/>
  <c r="P27" i="8" s="1"/>
  <c r="N25" i="8"/>
  <c r="N22" i="8"/>
  <c r="J17" i="11"/>
  <c r="J16" i="11"/>
  <c r="J15" i="11"/>
  <c r="J14" i="11"/>
  <c r="J13" i="11"/>
  <c r="J12" i="11"/>
  <c r="J11" i="11"/>
  <c r="J10" i="11"/>
  <c r="J9" i="11"/>
  <c r="J8" i="11"/>
  <c r="J7" i="11"/>
  <c r="H16" i="11"/>
  <c r="H15" i="11"/>
  <c r="H14" i="11"/>
  <c r="H13" i="11"/>
  <c r="H12" i="11"/>
  <c r="H11" i="11"/>
  <c r="H10" i="11"/>
  <c r="H9" i="11"/>
  <c r="H8" i="11"/>
  <c r="H7" i="11"/>
  <c r="F14" i="11"/>
  <c r="F13" i="11"/>
  <c r="F12" i="11"/>
  <c r="F11" i="11"/>
  <c r="F10" i="11"/>
  <c r="F9" i="11"/>
  <c r="F8" i="11"/>
  <c r="F7" i="11"/>
  <c r="N9" i="15"/>
  <c r="N8" i="15"/>
  <c r="N7" i="15"/>
  <c r="N11" i="15"/>
  <c r="M7" i="11" s="1"/>
  <c r="N12" i="15"/>
  <c r="M8" i="11" s="1"/>
  <c r="N13" i="15"/>
  <c r="M13" i="11" s="1"/>
  <c r="N14" i="15"/>
  <c r="M14" i="11" s="1"/>
  <c r="N15" i="15"/>
  <c r="N16" i="15"/>
  <c r="N17" i="15"/>
  <c r="N6" i="15"/>
  <c r="M7" i="6" s="1"/>
  <c r="P11" i="8" l="1"/>
  <c r="P10" i="8"/>
  <c r="P8" i="8"/>
  <c r="P7" i="8"/>
  <c r="P9" i="8" l="1"/>
  <c r="P12" i="8"/>
  <c r="N9" i="14"/>
  <c r="N6" i="14"/>
  <c r="N11" i="8"/>
  <c r="N10" i="8"/>
  <c r="N8" i="8"/>
  <c r="N7" i="8"/>
  <c r="L28" i="14"/>
  <c r="K28" i="14"/>
  <c r="J28" i="14"/>
  <c r="I28" i="14"/>
  <c r="H28" i="14"/>
  <c r="G28" i="14"/>
  <c r="F28" i="14"/>
  <c r="E28" i="14"/>
  <c r="D28" i="14"/>
  <c r="C28" i="14"/>
  <c r="B28" i="14"/>
  <c r="L27" i="14"/>
  <c r="K27" i="14"/>
  <c r="J27" i="14"/>
  <c r="I27" i="14"/>
  <c r="H27" i="14"/>
  <c r="G27" i="14"/>
  <c r="F27" i="14"/>
  <c r="E27" i="14"/>
  <c r="D27" i="14"/>
  <c r="C27" i="14"/>
  <c r="L26" i="14"/>
  <c r="K26" i="14"/>
  <c r="J26" i="14"/>
  <c r="I26" i="14"/>
  <c r="H26" i="14"/>
  <c r="G26" i="14"/>
  <c r="F26" i="14"/>
  <c r="E26" i="14"/>
  <c r="D26" i="14"/>
  <c r="C26" i="14"/>
  <c r="B26" i="14"/>
  <c r="L22" i="14"/>
  <c r="K22" i="14"/>
  <c r="J22" i="14"/>
  <c r="I22" i="14"/>
  <c r="H22" i="14"/>
  <c r="G22" i="14"/>
  <c r="F22" i="14"/>
  <c r="E22" i="14"/>
  <c r="D22" i="14"/>
  <c r="C22" i="14"/>
  <c r="N22" i="14"/>
  <c r="L13" i="14"/>
  <c r="K13" i="14"/>
  <c r="K42" i="14" s="1"/>
  <c r="J13" i="14"/>
  <c r="I13" i="14"/>
  <c r="H13" i="14"/>
  <c r="G13" i="14"/>
  <c r="G42" i="14" s="1"/>
  <c r="F13" i="14"/>
  <c r="E13" i="14"/>
  <c r="D13" i="14"/>
  <c r="C42" i="14"/>
  <c r="B13" i="14"/>
  <c r="L12" i="14"/>
  <c r="K12" i="14"/>
  <c r="J12" i="14"/>
  <c r="J41" i="14" s="1"/>
  <c r="I12" i="14"/>
  <c r="H12" i="14"/>
  <c r="G12" i="14"/>
  <c r="F12" i="14"/>
  <c r="F41" i="14" s="1"/>
  <c r="E12" i="14"/>
  <c r="D12" i="14"/>
  <c r="L11" i="14"/>
  <c r="L40" i="14" s="1"/>
  <c r="K11" i="14"/>
  <c r="K40" i="14" s="1"/>
  <c r="J11" i="14"/>
  <c r="I11" i="14"/>
  <c r="H11" i="14"/>
  <c r="H40" i="14" s="1"/>
  <c r="G11" i="14"/>
  <c r="G40" i="14" s="1"/>
  <c r="F11" i="14"/>
  <c r="E11" i="14"/>
  <c r="D11" i="14"/>
  <c r="D40" i="14" s="1"/>
  <c r="C11" i="14"/>
  <c r="C40" i="14" s="1"/>
  <c r="B11" i="14"/>
  <c r="L7" i="14"/>
  <c r="K7" i="14"/>
  <c r="J7" i="14"/>
  <c r="I7" i="14"/>
  <c r="H7" i="14"/>
  <c r="G7" i="14"/>
  <c r="F7" i="14"/>
  <c r="E7" i="14"/>
  <c r="D7" i="14"/>
  <c r="C7" i="14"/>
  <c r="B7" i="14"/>
  <c r="L14" i="8"/>
  <c r="K14" i="8"/>
  <c r="J14" i="8"/>
  <c r="I14" i="8"/>
  <c r="H14" i="8"/>
  <c r="G14" i="8"/>
  <c r="F14" i="8"/>
  <c r="E14" i="8"/>
  <c r="D14" i="8"/>
  <c r="C14" i="8"/>
  <c r="B14" i="8"/>
  <c r="N13" i="8"/>
  <c r="P13" i="8" s="1"/>
  <c r="L12" i="8"/>
  <c r="K12" i="8"/>
  <c r="J12" i="8"/>
  <c r="I12" i="8"/>
  <c r="H12" i="8"/>
  <c r="G12" i="8"/>
  <c r="F12" i="8"/>
  <c r="E12" i="8"/>
  <c r="D12" i="8"/>
  <c r="C12" i="8"/>
  <c r="L9" i="8"/>
  <c r="K9" i="8"/>
  <c r="J9" i="8"/>
  <c r="I9" i="8"/>
  <c r="H9" i="8"/>
  <c r="G9" i="8"/>
  <c r="F9" i="8"/>
  <c r="E9" i="8"/>
  <c r="D9" i="8"/>
  <c r="I6" i="6" s="1"/>
  <c r="C9" i="8"/>
  <c r="B9" i="8"/>
  <c r="G14" i="9"/>
  <c r="D12" i="6"/>
  <c r="I12" i="6" s="1"/>
  <c r="D13" i="6"/>
  <c r="I13" i="6" s="1"/>
  <c r="D14" i="6"/>
  <c r="I14" i="6" s="1"/>
  <c r="D15" i="6"/>
  <c r="I15" i="6" s="1"/>
  <c r="E11" i="6"/>
  <c r="E12" i="6"/>
  <c r="E13" i="6"/>
  <c r="E14" i="6"/>
  <c r="E15" i="6"/>
  <c r="E16" i="6"/>
  <c r="E17" i="6"/>
  <c r="I11" i="6"/>
  <c r="I16" i="6"/>
  <c r="I17" i="6"/>
  <c r="H11" i="6"/>
  <c r="G11" i="6"/>
  <c r="M39" i="6"/>
  <c r="F18" i="6"/>
  <c r="F10" i="6"/>
  <c r="F19" i="6" s="1"/>
  <c r="H12" i="6"/>
  <c r="H10" i="6"/>
  <c r="H13" i="6"/>
  <c r="H14" i="6"/>
  <c r="H15" i="6"/>
  <c r="H16" i="6"/>
  <c r="H17" i="6"/>
  <c r="J10" i="6"/>
  <c r="G13" i="6"/>
  <c r="G18" i="6"/>
  <c r="G10" i="6"/>
  <c r="H13" i="9"/>
  <c r="H12" i="9"/>
  <c r="H11" i="9"/>
  <c r="F14" i="9"/>
  <c r="H4" i="9"/>
  <c r="H8" i="9"/>
  <c r="H9" i="9"/>
  <c r="H6" i="9"/>
  <c r="H10" i="9"/>
  <c r="C14" i="9"/>
  <c r="H7" i="9"/>
  <c r="E14" i="9"/>
  <c r="D14" i="9"/>
  <c r="H5" i="9"/>
  <c r="H41" i="14" l="1"/>
  <c r="L41" i="14"/>
  <c r="I41" i="14"/>
  <c r="F42" i="14"/>
  <c r="J42" i="14"/>
  <c r="E42" i="14"/>
  <c r="I42" i="14"/>
  <c r="F40" i="14"/>
  <c r="I10" i="6"/>
  <c r="N7" i="14"/>
  <c r="L42" i="14"/>
  <c r="K41" i="14"/>
  <c r="H42" i="14"/>
  <c r="G41" i="14"/>
  <c r="E41" i="14"/>
  <c r="D41" i="14"/>
  <c r="D42" i="14"/>
  <c r="N13" i="14"/>
  <c r="B42" i="14"/>
  <c r="E18" i="6"/>
  <c r="H14" i="9"/>
  <c r="H18" i="6"/>
  <c r="H19" i="6" s="1"/>
  <c r="G19" i="6"/>
  <c r="D18" i="6"/>
  <c r="I18" i="6"/>
  <c r="E10" i="6"/>
  <c r="N9" i="8"/>
  <c r="E40" i="14"/>
  <c r="I40" i="14"/>
  <c r="J40" i="14"/>
  <c r="N12" i="14"/>
  <c r="C41" i="14"/>
  <c r="N11" i="14"/>
  <c r="B40" i="14"/>
  <c r="N12" i="8"/>
  <c r="M11" i="6"/>
  <c r="J19" i="6"/>
  <c r="N14" i="8"/>
  <c r="P14" i="8" s="1"/>
  <c r="D10" i="6"/>
  <c r="N36" i="14" l="1"/>
  <c r="N41" i="14"/>
  <c r="N42" i="14"/>
  <c r="E19" i="6"/>
  <c r="D19" i="6"/>
  <c r="I19" i="6"/>
  <c r="N40" i="14"/>
  <c r="K10" i="6"/>
  <c r="K19" i="6"/>
  <c r="M19" i="6" s="1"/>
</calcChain>
</file>

<file path=xl/sharedStrings.xml><?xml version="1.0" encoding="utf-8"?>
<sst xmlns="http://schemas.openxmlformats.org/spreadsheetml/2006/main" count="244" uniqueCount="103">
  <si>
    <t>Paid Search</t>
  </si>
  <si>
    <t>Display</t>
  </si>
  <si>
    <t>Spend</t>
  </si>
  <si>
    <t>Revenue</t>
  </si>
  <si>
    <t>CTR</t>
  </si>
  <si>
    <t>Visits</t>
  </si>
  <si>
    <t>ROI</t>
  </si>
  <si>
    <t>Organic Search</t>
  </si>
  <si>
    <t>Direct Traffic</t>
  </si>
  <si>
    <t>Referring Domains</t>
  </si>
  <si>
    <t>Email</t>
  </si>
  <si>
    <t>Impressions</t>
  </si>
  <si>
    <t>Earned Media</t>
  </si>
  <si>
    <t>Total Earned Media</t>
  </si>
  <si>
    <t>Social</t>
  </si>
  <si>
    <t>Partners</t>
  </si>
  <si>
    <t>Collateral</t>
  </si>
  <si>
    <t>Conv Rate</t>
  </si>
  <si>
    <t>Facebook</t>
  </si>
  <si>
    <t>Chart Data</t>
  </si>
  <si>
    <t>Paid Social</t>
  </si>
  <si>
    <t>Totals</t>
  </si>
  <si>
    <t>Monthly Totals</t>
  </si>
  <si>
    <t xml:space="preserve">Organic Social  </t>
  </si>
  <si>
    <t xml:space="preserve">Media Avg. ROI TD </t>
  </si>
  <si>
    <t>Banner Display</t>
  </si>
  <si>
    <t>Website Banners</t>
  </si>
  <si>
    <t>Source: Google Analytics etc.</t>
  </si>
  <si>
    <t>Total Orders</t>
  </si>
  <si>
    <t>Sign Ups</t>
  </si>
  <si>
    <t>Avg Order</t>
  </si>
  <si>
    <t>Partner Banners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</si>
  <si>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</si>
  <si>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</si>
  <si>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</si>
  <si>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</si>
  <si>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</si>
  <si>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</si>
  <si>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</si>
  <si>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</si>
  <si>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</si>
  <si>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</si>
  <si>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</si>
  <si>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</si>
  <si>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Search Google Adwords</t>
  </si>
  <si>
    <t>Instagram</t>
  </si>
  <si>
    <t>75:18%</t>
  </si>
  <si>
    <t>77:62%</t>
  </si>
  <si>
    <t>77:63%</t>
  </si>
  <si>
    <t>TOTAL AVG</t>
  </si>
  <si>
    <t xml:space="preserve">TOTAL </t>
  </si>
  <si>
    <t xml:space="preserve">INSTAGRAM SOCIAL MEDIA </t>
  </si>
  <si>
    <t xml:space="preserve">FACEBOOK SOCIAL MEDIA </t>
  </si>
  <si>
    <t>TOTAL</t>
  </si>
  <si>
    <t>Referrals</t>
  </si>
  <si>
    <t>Social media</t>
  </si>
  <si>
    <t>Conversion</t>
  </si>
  <si>
    <t>Clicks</t>
  </si>
  <si>
    <t>Cost</t>
  </si>
  <si>
    <t>Conversions</t>
  </si>
  <si>
    <t>Conversion rate</t>
  </si>
  <si>
    <t>Cost per conversion</t>
  </si>
  <si>
    <t>Avg. CPC</t>
  </si>
  <si>
    <t>Reach</t>
  </si>
  <si>
    <t>Action on page</t>
  </si>
  <si>
    <t>Page views</t>
  </si>
  <si>
    <t>Page likes</t>
  </si>
  <si>
    <t>Post likes</t>
  </si>
  <si>
    <t>Post engagements</t>
  </si>
  <si>
    <t xml:space="preserve">Total visits </t>
  </si>
  <si>
    <t>Unique visitors</t>
  </si>
  <si>
    <t>Avg session duration</t>
  </si>
  <si>
    <t>Bounce rate</t>
  </si>
  <si>
    <t>GOOGLE ADS TAB</t>
  </si>
  <si>
    <t>SOCIAL MEDIA TAP</t>
  </si>
  <si>
    <t>GOOGLE ANALYTICS</t>
  </si>
  <si>
    <t>MONTHS</t>
  </si>
  <si>
    <t>Total Visits</t>
  </si>
  <si>
    <t>Conversion Rate</t>
  </si>
  <si>
    <t>ALL SOCIAL MEDIA</t>
  </si>
  <si>
    <t>New Clients</t>
  </si>
  <si>
    <t>Network Display</t>
  </si>
  <si>
    <t>Interests &amp; remarketing</t>
  </si>
  <si>
    <t>Paid Marketing</t>
  </si>
  <si>
    <t>Paid Search CPC</t>
  </si>
  <si>
    <t>Banners Impressions</t>
  </si>
  <si>
    <t># Clients</t>
  </si>
  <si>
    <t>GOOGLE ADWORDS MONTHLY PAID MARKETING DATA</t>
  </si>
  <si>
    <t>SOCIAL MEDIA MARKETING DASHBOARD</t>
  </si>
  <si>
    <t xml:space="preserve"> Google Analytics </t>
  </si>
  <si>
    <t>GOOGLE ANALYTICS MARKETING REPORT</t>
  </si>
  <si>
    <t>Campaings</t>
  </si>
  <si>
    <t xml:space="preserve">Year </t>
  </si>
  <si>
    <t>Cost Per Conversion</t>
  </si>
  <si>
    <t xml:space="preserve">TABLES TITLES </t>
  </si>
  <si>
    <t>← Select the Month</t>
  </si>
  <si>
    <t>Note: All data on dashboard is auto calculate in the lock cells, to update dashboard, updated data in each corresponding tab.</t>
  </si>
  <si>
    <t>Visits/Clicks</t>
  </si>
  <si>
    <t>Calculated Revenue</t>
  </si>
  <si>
    <t>Monthly Earned Marketing Dashboard</t>
  </si>
  <si>
    <r>
      <rPr>
        <b/>
        <sz val="21"/>
        <color theme="4"/>
        <rFont val="Arial"/>
        <family val="2"/>
      </rPr>
      <t>Your Business Name</t>
    </r>
    <r>
      <rPr>
        <b/>
        <sz val="21"/>
        <color theme="1"/>
        <rFont val="Arial"/>
        <family val="2"/>
      </rPr>
      <t xml:space="preserve"> Campaign Marketing Dashboard</t>
    </r>
  </si>
  <si>
    <t>Cost Per Click</t>
  </si>
  <si>
    <t>Cost Per Convertion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</si>
</sst>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yyyy/mm/dd"/>
    <numFmt numFmtId="165" formatCode="&quot;$&quot;#,##0"/>
    <numFmt numFmtId="166" formatCode="&quot;$&quot;#,##0.00"/>
    <numFmt numFmtId="167" formatCode="&quot;$&quot;#,##0.000"/>
    <numFmt numFmtId="168" formatCode="00000"/>
    <numFmt numFmtId="169" formatCode="0.0000"/>
    <numFmt numFmtId="170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3" tint="0.39997558519241921"/>
      <name val="Arial"/>
      <family val="2"/>
    </font>
    <font>
      <sz val="11"/>
      <color rgb="FFFF660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66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0"/>
      <name val="Arial"/>
      <family val="2"/>
    </font>
    <font>
      <b/>
      <sz val="21"/>
      <color theme="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2242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56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Border="1"/>
    <xf numFmtId="165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 applyFont="1"/>
    <xf numFmtId="10" fontId="0" fillId="0" borderId="0" xfId="0" applyNumberFormat="1" applyFill="1" applyBorder="1"/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3" fontId="8" fillId="0" borderId="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8" fillId="3" borderId="0" xfId="0" applyFont="1" applyFill="1" applyBorder="1"/>
    <xf numFmtId="3" fontId="8" fillId="0" borderId="0" xfId="0" applyNumberFormat="1" applyFont="1"/>
    <xf numFmtId="0" fontId="16" fillId="4" borderId="0" xfId="0" applyFont="1" applyFill="1"/>
    <xf numFmtId="49" fontId="12" fillId="0" borderId="0" xfId="0" applyNumberFormat="1" applyFont="1" applyAlignment="1">
      <alignment horizontal="left"/>
    </xf>
    <xf numFmtId="0" fontId="23" fillId="4" borderId="0" xfId="0" applyFont="1" applyFill="1"/>
    <xf numFmtId="0" fontId="0" fillId="0" borderId="0" xfId="0" applyFill="1"/>
    <xf numFmtId="0" fontId="21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2" borderId="24" xfId="0" applyFont="1" applyFill="1" applyBorder="1"/>
    <xf numFmtId="10" fontId="8" fillId="0" borderId="14" xfId="0" applyNumberFormat="1" applyFont="1" applyBorder="1" applyAlignment="1">
      <alignment horizontal="center"/>
    </xf>
    <xf numFmtId="0" fontId="11" fillId="2" borderId="21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2" borderId="10" xfId="0" applyFont="1" applyFill="1" applyBorder="1" applyAlignment="1"/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/>
    <xf numFmtId="166" fontId="8" fillId="0" borderId="1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center"/>
    </xf>
    <xf numFmtId="0" fontId="8" fillId="0" borderId="27" xfId="0" applyFont="1" applyBorder="1"/>
    <xf numFmtId="0" fontId="11" fillId="2" borderId="21" xfId="0" applyFont="1" applyFill="1" applyBorder="1"/>
    <xf numFmtId="0" fontId="8" fillId="0" borderId="28" xfId="0" applyFont="1" applyBorder="1"/>
    <xf numFmtId="10" fontId="8" fillId="0" borderId="25" xfId="0" applyNumberFormat="1" applyFont="1" applyBorder="1" applyAlignment="1">
      <alignment horizontal="center"/>
    </xf>
    <xf numFmtId="0" fontId="11" fillId="2" borderId="26" xfId="0" applyFont="1" applyFill="1" applyBorder="1"/>
    <xf numFmtId="0" fontId="8" fillId="0" borderId="29" xfId="0" applyFont="1" applyBorder="1"/>
    <xf numFmtId="0" fontId="19" fillId="2" borderId="15" xfId="0" applyFont="1" applyFill="1" applyBorder="1" applyAlignment="1">
      <alignment horizontal="left" vertical="center"/>
    </xf>
    <xf numFmtId="165" fontId="19" fillId="0" borderId="16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166" fontId="19" fillId="0" borderId="16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8" fillId="0" borderId="19" xfId="0" applyFont="1" applyBorder="1"/>
    <xf numFmtId="0" fontId="26" fillId="0" borderId="0" xfId="0" applyFont="1"/>
    <xf numFmtId="10" fontId="8" fillId="0" borderId="30" xfId="0" applyNumberFormat="1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166" fontId="8" fillId="0" borderId="4" xfId="0" applyNumberFormat="1" applyFont="1" applyBorder="1" applyAlignment="1">
      <alignment horizontal="center"/>
    </xf>
    <xf numFmtId="166" fontId="0" fillId="0" borderId="5" xfId="0" applyNumberFormat="1" applyBorder="1"/>
    <xf numFmtId="43" fontId="8" fillId="0" borderId="22" xfId="1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166" fontId="8" fillId="0" borderId="30" xfId="0" applyNumberFormat="1" applyFont="1" applyBorder="1" applyAlignment="1" applyProtection="1">
      <alignment horizontal="center"/>
      <protection locked="0"/>
    </xf>
    <xf numFmtId="166" fontId="8" fillId="0" borderId="30" xfId="0" applyNumberFormat="1" applyFont="1" applyBorder="1" applyAlignment="1" applyProtection="1">
      <alignment horizontal="center"/>
    </xf>
    <xf numFmtId="166" fontId="8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 applyProtection="1">
      <alignment horizontal="center"/>
    </xf>
    <xf numFmtId="43" fontId="8" fillId="0" borderId="3" xfId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0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</xf>
    <xf numFmtId="166" fontId="8" fillId="0" borderId="5" xfId="0" applyNumberFormat="1" applyFont="1" applyBorder="1" applyAlignment="1">
      <alignment horizontal="center"/>
    </xf>
    <xf numFmtId="165" fontId="11" fillId="8" borderId="9" xfId="0" applyNumberFormat="1" applyFont="1" applyFill="1" applyBorder="1" applyAlignment="1">
      <alignment horizontal="center"/>
    </xf>
    <xf numFmtId="0" fontId="11" fillId="8" borderId="15" xfId="0" applyFont="1" applyFill="1" applyBorder="1"/>
    <xf numFmtId="0" fontId="0" fillId="6" borderId="0" xfId="0" applyFill="1"/>
    <xf numFmtId="0" fontId="8" fillId="3" borderId="30" xfId="0" applyFont="1" applyFill="1" applyBorder="1" applyAlignment="1" applyProtection="1">
      <alignment horizontal="center" vertical="center"/>
      <protection locked="0"/>
    </xf>
    <xf numFmtId="20" fontId="8" fillId="3" borderId="30" xfId="0" applyNumberFormat="1" applyFont="1" applyFill="1" applyBorder="1" applyAlignment="1">
      <alignment horizontal="center" vertical="center"/>
    </xf>
    <xf numFmtId="10" fontId="0" fillId="3" borderId="30" xfId="0" applyNumberFormat="1" applyFill="1" applyBorder="1" applyAlignment="1">
      <alignment horizontal="center" vertical="center"/>
    </xf>
    <xf numFmtId="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NumberFormat="1" applyFont="1" applyFill="1" applyBorder="1" applyAlignment="1" applyProtection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20" fontId="8" fillId="3" borderId="4" xfId="0" applyNumberFormat="1" applyFon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10" fontId="4" fillId="3" borderId="30" xfId="0" applyNumberFormat="1" applyFont="1" applyFill="1" applyBorder="1" applyAlignment="1">
      <alignment horizontal="center" vertical="center"/>
    </xf>
    <xf numFmtId="4" fontId="8" fillId="3" borderId="30" xfId="0" applyNumberFormat="1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6" xfId="0" applyFill="1" applyBorder="1"/>
    <xf numFmtId="0" fontId="11" fillId="2" borderId="30" xfId="0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right" vertical="center"/>
    </xf>
    <xf numFmtId="10" fontId="11" fillId="0" borderId="30" xfId="0" applyNumberFormat="1" applyFont="1" applyBorder="1" applyAlignment="1">
      <alignment horizontal="right" vertical="center"/>
    </xf>
    <xf numFmtId="166" fontId="11" fillId="0" borderId="30" xfId="0" applyNumberFormat="1" applyFont="1" applyBorder="1" applyAlignment="1">
      <alignment horizontal="right" vertical="center"/>
    </xf>
    <xf numFmtId="0" fontId="11" fillId="9" borderId="9" xfId="0" applyFont="1" applyFill="1" applyBorder="1" applyAlignment="1">
      <alignment horizontal="right" vertical="center"/>
    </xf>
    <xf numFmtId="43" fontId="11" fillId="0" borderId="22" xfId="0" applyNumberFormat="1" applyFont="1" applyBorder="1" applyAlignment="1">
      <alignment horizontal="right" vertical="center" indent="1"/>
    </xf>
    <xf numFmtId="0" fontId="0" fillId="0" borderId="30" xfId="0" applyBorder="1"/>
    <xf numFmtId="0" fontId="11" fillId="3" borderId="3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10" xfId="0" applyFont="1" applyFill="1" applyBorder="1" applyAlignment="1"/>
    <xf numFmtId="0" fontId="8" fillId="2" borderId="12" xfId="0" applyFont="1" applyFill="1" applyBorder="1" applyAlignment="1"/>
    <xf numFmtId="0" fontId="11" fillId="2" borderId="10" xfId="0" applyFont="1" applyFill="1" applyBorder="1" applyAlignment="1">
      <alignment horizontal="center" vertical="center"/>
    </xf>
    <xf numFmtId="0" fontId="11" fillId="3" borderId="30" xfId="0" applyFont="1" applyFill="1" applyBorder="1"/>
    <xf numFmtId="20" fontId="11" fillId="3" borderId="30" xfId="0" applyNumberFormat="1" applyFont="1" applyFill="1" applyBorder="1"/>
    <xf numFmtId="10" fontId="11" fillId="3" borderId="30" xfId="3" applyNumberFormat="1" applyFont="1" applyFill="1" applyBorder="1"/>
    <xf numFmtId="169" fontId="11" fillId="3" borderId="30" xfId="0" applyNumberFormat="1" applyFont="1" applyFill="1" applyBorder="1"/>
    <xf numFmtId="0" fontId="0" fillId="3" borderId="0" xfId="0" applyFill="1"/>
    <xf numFmtId="0" fontId="8" fillId="0" borderId="0" xfId="0" applyFont="1" applyAlignment="1">
      <alignment vertical="center"/>
    </xf>
    <xf numFmtId="165" fontId="1" fillId="0" borderId="0" xfId="0" applyNumberFormat="1" applyFont="1"/>
    <xf numFmtId="0" fontId="11" fillId="0" borderId="30" xfId="0" applyNumberFormat="1" applyFont="1" applyBorder="1" applyAlignment="1">
      <alignment horizontal="right" vertical="center"/>
    </xf>
    <xf numFmtId="170" fontId="8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170" fontId="8" fillId="0" borderId="5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0" fontId="8" fillId="6" borderId="0" xfId="0" applyFont="1" applyFill="1" applyAlignment="1">
      <alignment vertical="center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30" xfId="0" applyFill="1" applyBorder="1"/>
    <xf numFmtId="0" fontId="11" fillId="6" borderId="30" xfId="0" applyFont="1" applyFill="1" applyBorder="1"/>
    <xf numFmtId="0" fontId="8" fillId="3" borderId="2" xfId="1" applyNumberFormat="1" applyFont="1" applyFill="1" applyBorder="1" applyAlignment="1" applyProtection="1">
      <alignment horizontal="center" vertical="center"/>
    </xf>
    <xf numFmtId="0" fontId="11" fillId="3" borderId="30" xfId="0" applyFont="1" applyFill="1" applyBorder="1" applyProtection="1"/>
    <xf numFmtId="0" fontId="8" fillId="0" borderId="30" xfId="0" applyNumberFormat="1" applyFont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/>
    </xf>
    <xf numFmtId="43" fontId="8" fillId="6" borderId="22" xfId="1" applyFont="1" applyFill="1" applyBorder="1" applyAlignment="1" applyProtection="1">
      <alignment horizontal="center"/>
    </xf>
    <xf numFmtId="43" fontId="11" fillId="6" borderId="22" xfId="0" applyNumberFormat="1" applyFont="1" applyFill="1" applyBorder="1" applyAlignment="1" applyProtection="1">
      <alignment horizontal="right" vertical="center" indent="1"/>
    </xf>
    <xf numFmtId="0" fontId="8" fillId="6" borderId="30" xfId="0" applyFont="1" applyFill="1" applyBorder="1" applyAlignment="1" applyProtection="1">
      <alignment horizontal="center"/>
    </xf>
    <xf numFmtId="2" fontId="11" fillId="6" borderId="30" xfId="0" applyNumberFormat="1" applyFont="1" applyFill="1" applyBorder="1" applyAlignment="1" applyProtection="1">
      <alignment horizontal="right" vertical="center"/>
    </xf>
    <xf numFmtId="10" fontId="8" fillId="6" borderId="30" xfId="0" applyNumberFormat="1" applyFont="1" applyFill="1" applyBorder="1" applyAlignment="1" applyProtection="1">
      <alignment horizontal="center"/>
    </xf>
    <xf numFmtId="10" fontId="11" fillId="6" borderId="30" xfId="0" applyNumberFormat="1" applyFont="1" applyFill="1" applyBorder="1" applyAlignment="1" applyProtection="1">
      <alignment horizontal="right" vertical="center"/>
    </xf>
    <xf numFmtId="166" fontId="8" fillId="6" borderId="30" xfId="0" applyNumberFormat="1" applyFont="1" applyFill="1" applyBorder="1" applyAlignment="1" applyProtection="1">
      <alignment horizontal="center"/>
    </xf>
    <xf numFmtId="166" fontId="11" fillId="6" borderId="30" xfId="0" applyNumberFormat="1" applyFont="1" applyFill="1" applyBorder="1" applyAlignment="1" applyProtection="1">
      <alignment horizontal="right" vertical="center"/>
    </xf>
    <xf numFmtId="0" fontId="8" fillId="6" borderId="30" xfId="0" applyNumberFormat="1" applyFont="1" applyFill="1" applyBorder="1" applyAlignment="1" applyProtection="1">
      <alignment horizontal="center"/>
    </xf>
    <xf numFmtId="2" fontId="8" fillId="6" borderId="30" xfId="0" applyNumberFormat="1" applyFont="1" applyFill="1" applyBorder="1" applyAlignment="1" applyProtection="1">
      <alignment horizontal="center"/>
    </xf>
    <xf numFmtId="0" fontId="11" fillId="6" borderId="22" xfId="0" applyFont="1" applyFill="1" applyBorder="1" applyAlignment="1" applyProtection="1">
      <alignment horizontal="center" vertical="center"/>
    </xf>
    <xf numFmtId="0" fontId="11" fillId="6" borderId="22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vertical="center"/>
    </xf>
    <xf numFmtId="0" fontId="8" fillId="6" borderId="4" xfId="0" applyFont="1" applyFill="1" applyBorder="1" applyProtection="1"/>
    <xf numFmtId="0" fontId="11" fillId="6" borderId="9" xfId="0" applyFont="1" applyFill="1" applyBorder="1" applyProtection="1"/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0" borderId="22" xfId="0" applyNumberFormat="1" applyFont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 applyProtection="1">
      <alignment horizontal="center"/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>
      <alignment wrapText="1"/>
    </xf>
    <xf numFmtId="167" fontId="8" fillId="3" borderId="0" xfId="0" applyNumberFormat="1" applyFont="1" applyFill="1"/>
    <xf numFmtId="0" fontId="8" fillId="3" borderId="0" xfId="0" applyFont="1" applyFill="1"/>
    <xf numFmtId="0" fontId="1" fillId="2" borderId="0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 vertical="center" wrapText="1"/>
    </xf>
    <xf numFmtId="10" fontId="0" fillId="10" borderId="0" xfId="0" applyNumberFormat="1" applyFill="1" applyBorder="1"/>
    <xf numFmtId="0" fontId="9" fillId="10" borderId="0" xfId="0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/>
    </xf>
    <xf numFmtId="0" fontId="8" fillId="3" borderId="35" xfId="0" applyNumberFormat="1" applyFont="1" applyFill="1" applyBorder="1" applyAlignment="1">
      <alignment horizontal="center"/>
    </xf>
    <xf numFmtId="43" fontId="8" fillId="3" borderId="35" xfId="1" applyFont="1" applyFill="1" applyBorder="1" applyAlignment="1">
      <alignment horizontal="center"/>
    </xf>
    <xf numFmtId="10" fontId="8" fillId="3" borderId="35" xfId="3" applyNumberFormat="1" applyFont="1" applyFill="1" applyBorder="1" applyAlignment="1">
      <alignment horizontal="center"/>
    </xf>
    <xf numFmtId="166" fontId="8" fillId="3" borderId="35" xfId="3" applyNumberFormat="1" applyFont="1" applyFill="1" applyBorder="1" applyAlignment="1">
      <alignment horizontal="center"/>
    </xf>
    <xf numFmtId="10" fontId="14" fillId="0" borderId="35" xfId="3" applyNumberFormat="1" applyFont="1" applyBorder="1" applyAlignment="1">
      <alignment horizontal="center"/>
    </xf>
    <xf numFmtId="10" fontId="8" fillId="3" borderId="35" xfId="0" applyNumberFormat="1" applyFont="1" applyFill="1" applyBorder="1" applyAlignment="1">
      <alignment horizontal="center"/>
    </xf>
    <xf numFmtId="166" fontId="8" fillId="3" borderId="35" xfId="0" applyNumberFormat="1" applyFont="1" applyFill="1" applyBorder="1" applyAlignment="1">
      <alignment horizontal="center"/>
    </xf>
    <xf numFmtId="165" fontId="8" fillId="0" borderId="35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0" fontId="8" fillId="0" borderId="35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3" fontId="11" fillId="7" borderId="35" xfId="0" applyNumberFormat="1" applyFont="1" applyFill="1" applyBorder="1" applyAlignment="1">
      <alignment horizontal="center" vertical="center"/>
    </xf>
    <xf numFmtId="165" fontId="11" fillId="7" borderId="35" xfId="0" applyNumberFormat="1" applyFont="1" applyFill="1" applyBorder="1" applyAlignment="1">
      <alignment horizontal="center" vertical="center"/>
    </xf>
    <xf numFmtId="0" fontId="11" fillId="7" borderId="35" xfId="0" applyNumberFormat="1" applyFont="1" applyFill="1" applyBorder="1" applyAlignment="1">
      <alignment horizontal="center" vertical="center"/>
    </xf>
    <xf numFmtId="10" fontId="11" fillId="7" borderId="35" xfId="0" applyNumberFormat="1" applyFont="1" applyFill="1" applyBorder="1" applyAlignment="1">
      <alignment horizontal="center" vertical="center"/>
    </xf>
    <xf numFmtId="10" fontId="24" fillId="7" borderId="35" xfId="3" applyNumberFormat="1" applyFont="1" applyFill="1" applyBorder="1" applyAlignment="1">
      <alignment horizontal="center" vertical="center"/>
    </xf>
    <xf numFmtId="0" fontId="8" fillId="0" borderId="35" xfId="0" applyNumberFormat="1" applyFont="1" applyBorder="1" applyAlignment="1" applyProtection="1">
      <alignment horizontal="center"/>
      <protection locked="0"/>
    </xf>
    <xf numFmtId="3" fontId="11" fillId="7" borderId="35" xfId="0" applyNumberFormat="1" applyFont="1" applyFill="1" applyBorder="1" applyAlignment="1">
      <alignment horizontal="center"/>
    </xf>
    <xf numFmtId="165" fontId="11" fillId="7" borderId="35" xfId="0" applyNumberFormat="1" applyFont="1" applyFill="1" applyBorder="1" applyAlignment="1">
      <alignment horizontal="center"/>
    </xf>
    <xf numFmtId="0" fontId="11" fillId="7" borderId="35" xfId="0" applyNumberFormat="1" applyFont="1" applyFill="1" applyBorder="1" applyAlignment="1">
      <alignment horizontal="center"/>
    </xf>
    <xf numFmtId="10" fontId="11" fillId="7" borderId="35" xfId="0" applyNumberFormat="1" applyFont="1" applyFill="1" applyBorder="1" applyAlignment="1">
      <alignment horizontal="center"/>
    </xf>
    <xf numFmtId="3" fontId="20" fillId="0" borderId="35" xfId="0" applyNumberFormat="1" applyFont="1" applyBorder="1" applyAlignment="1">
      <alignment horizontal="center" vertical="center"/>
    </xf>
    <xf numFmtId="165" fontId="20" fillId="0" borderId="35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10" fontId="20" fillId="3" borderId="35" xfId="0" applyNumberFormat="1" applyFont="1" applyFill="1" applyBorder="1" applyAlignment="1">
      <alignment horizontal="center" vertical="center"/>
    </xf>
    <xf numFmtId="10" fontId="20" fillId="0" borderId="35" xfId="3" applyNumberFormat="1" applyFont="1" applyBorder="1" applyAlignment="1">
      <alignment horizontal="center" vertical="center"/>
    </xf>
    <xf numFmtId="3" fontId="8" fillId="3" borderId="36" xfId="0" applyNumberFormat="1" applyFont="1" applyFill="1" applyBorder="1" applyAlignment="1">
      <alignment horizontal="center"/>
    </xf>
    <xf numFmtId="3" fontId="11" fillId="7" borderId="36" xfId="0" applyNumberFormat="1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/>
    </xf>
    <xf numFmtId="3" fontId="11" fillId="7" borderId="36" xfId="0" applyNumberFormat="1" applyFont="1" applyFill="1" applyBorder="1" applyAlignment="1">
      <alignment horizontal="center"/>
    </xf>
    <xf numFmtId="3" fontId="20" fillId="0" borderId="36" xfId="0" applyNumberFormat="1" applyFont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 textRotation="90"/>
    </xf>
    <xf numFmtId="0" fontId="11" fillId="6" borderId="40" xfId="0" applyFont="1" applyFill="1" applyBorder="1"/>
    <xf numFmtId="0" fontId="11" fillId="6" borderId="40" xfId="0" applyFont="1" applyFill="1" applyBorder="1" applyAlignment="1"/>
    <xf numFmtId="0" fontId="11" fillId="6" borderId="40" xfId="0" applyFont="1" applyFill="1" applyBorder="1" applyAlignment="1">
      <alignment horizontal="left" vertical="center"/>
    </xf>
    <xf numFmtId="0" fontId="11" fillId="6" borderId="43" xfId="0" applyFont="1" applyFill="1" applyBorder="1"/>
    <xf numFmtId="0" fontId="8" fillId="0" borderId="0" xfId="0" applyFont="1" applyBorder="1"/>
    <xf numFmtId="2" fontId="8" fillId="0" borderId="36" xfId="0" applyNumberFormat="1" applyFont="1" applyBorder="1" applyAlignment="1">
      <alignment horizontal="center"/>
    </xf>
    <xf numFmtId="0" fontId="9" fillId="10" borderId="18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49" fontId="18" fillId="10" borderId="0" xfId="0" applyNumberFormat="1" applyFont="1" applyFill="1" applyAlignment="1" applyProtection="1">
      <alignment horizontal="center"/>
      <protection locked="0"/>
    </xf>
    <xf numFmtId="0" fontId="19" fillId="0" borderId="16" xfId="0" applyNumberFormat="1" applyFont="1" applyBorder="1" applyAlignment="1">
      <alignment horizontal="center" vertical="center"/>
    </xf>
    <xf numFmtId="10" fontId="8" fillId="3" borderId="4" xfId="0" applyNumberFormat="1" applyFont="1" applyFill="1" applyBorder="1" applyAlignment="1">
      <alignment horizontal="center" vertical="center"/>
    </xf>
    <xf numFmtId="10" fontId="8" fillId="3" borderId="3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166" fontId="16" fillId="12" borderId="4" xfId="0" applyNumberFormat="1" applyFont="1" applyFill="1" applyBorder="1" applyAlignment="1" applyProtection="1">
      <alignment horizontal="center" vertical="center"/>
      <protection locked="0"/>
    </xf>
    <xf numFmtId="166" fontId="9" fillId="12" borderId="30" xfId="0" applyNumberFormat="1" applyFont="1" applyFill="1" applyBorder="1"/>
    <xf numFmtId="165" fontId="8" fillId="0" borderId="8" xfId="0" applyNumberFormat="1" applyFont="1" applyBorder="1" applyAlignment="1" applyProtection="1">
      <alignment horizontal="center"/>
    </xf>
    <xf numFmtId="166" fontId="8" fillId="3" borderId="36" xfId="0" applyNumberFormat="1" applyFont="1" applyFill="1" applyBorder="1" applyAlignment="1">
      <alignment horizontal="center"/>
    </xf>
    <xf numFmtId="165" fontId="11" fillId="8" borderId="9" xfId="0" applyNumberFormat="1" applyFont="1" applyFill="1" applyBorder="1"/>
    <xf numFmtId="166" fontId="11" fillId="6" borderId="30" xfId="0" applyNumberFormat="1" applyFont="1" applyFill="1" applyBorder="1" applyAlignment="1" applyProtection="1">
      <alignment horizontal="center"/>
    </xf>
    <xf numFmtId="166" fontId="11" fillId="9" borderId="9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</xf>
    <xf numFmtId="0" fontId="8" fillId="11" borderId="35" xfId="0" applyNumberFormat="1" applyFont="1" applyFill="1" applyBorder="1" applyAlignment="1" applyProtection="1">
      <alignment horizontal="center"/>
      <protection locked="0"/>
    </xf>
    <xf numFmtId="3" fontId="8" fillId="11" borderId="35" xfId="0" applyNumberFormat="1" applyFont="1" applyFill="1" applyBorder="1" applyAlignment="1" applyProtection="1">
      <alignment horizontal="center"/>
      <protection locked="0"/>
    </xf>
    <xf numFmtId="166" fontId="11" fillId="8" borderId="9" xfId="3" applyNumberFormat="1" applyFont="1" applyFill="1" applyBorder="1" applyAlignment="1">
      <alignment horizontal="center"/>
    </xf>
    <xf numFmtId="3" fontId="8" fillId="0" borderId="3" xfId="0" applyNumberFormat="1" applyFont="1" applyBorder="1" applyAlignment="1" applyProtection="1">
      <alignment horizontal="center"/>
      <protection locked="0"/>
    </xf>
    <xf numFmtId="8" fontId="8" fillId="0" borderId="5" xfId="0" applyNumberFormat="1" applyFont="1" applyBorder="1" applyAlignment="1" applyProtection="1">
      <alignment horizontal="center"/>
      <protection locked="0"/>
    </xf>
    <xf numFmtId="0" fontId="19" fillId="6" borderId="44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8" fontId="23" fillId="4" borderId="0" xfId="0" applyNumberFormat="1" applyFont="1" applyFill="1" applyAlignment="1"/>
    <xf numFmtId="168" fontId="2" fillId="0" borderId="0" xfId="0" applyNumberFormat="1" applyFont="1" applyAlignment="1"/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2" borderId="38" xfId="0" applyFont="1" applyFill="1" applyBorder="1" applyAlignment="1" applyProtection="1">
      <alignment horizontal="center" vertical="center" wrapText="1"/>
      <protection locked="0"/>
    </xf>
    <xf numFmtId="0" fontId="8" fillId="6" borderId="35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 textRotation="90"/>
    </xf>
    <xf numFmtId="0" fontId="9" fillId="5" borderId="45" xfId="0" applyFont="1" applyFill="1" applyBorder="1" applyAlignment="1">
      <alignment horizontal="center" vertical="center" textRotation="90"/>
    </xf>
    <xf numFmtId="3" fontId="17" fillId="5" borderId="4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10" fontId="17" fillId="5" borderId="4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10" fontId="17" fillId="5" borderId="6" xfId="0" applyNumberFormat="1" applyFont="1" applyFill="1" applyBorder="1" applyAlignment="1">
      <alignment horizontal="center" vertical="center"/>
    </xf>
    <xf numFmtId="10" fontId="17" fillId="5" borderId="7" xfId="0" applyNumberFormat="1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vertical="center"/>
    </xf>
    <xf numFmtId="165" fontId="17" fillId="5" borderId="4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5" fontId="17" fillId="5" borderId="6" xfId="0" applyNumberFormat="1" applyFont="1" applyFill="1" applyBorder="1" applyAlignment="1">
      <alignment horizontal="center" vertical="center"/>
    </xf>
    <xf numFmtId="165" fontId="17" fillId="5" borderId="7" xfId="0" applyNumberFormat="1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9" fillId="10" borderId="0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28" fillId="10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8" fillId="0" borderId="30" xfId="0" applyNumberFormat="1" applyFont="1" applyBorder="1" applyAlignment="1" applyProtection="1">
      <alignment horizontal="center"/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  <protection locked="0"/>
    </xf>
    <xf numFmtId="2" fontId="8" fillId="0" borderId="4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11" fillId="0" borderId="30" xfId="0" applyNumberFormat="1" applyFont="1" applyBorder="1" applyAlignment="1">
      <alignment horizontal="right" vertical="center" indent="1"/>
    </xf>
  </cellXfs>
  <cellStyles count="156">
    <cellStyle name="Comma" xfId="1" builtinId="3"/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Percent" xfId="3" builtinId="5"/>
  </cellStyles>
  <dxfs count="42"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22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cs typeface="Arial"/>
              </a:defRPr>
            </a:pPr>
            <a:r>
              <a:rPr lang="en-US" sz="1600">
                <a:latin typeface="Arial"/>
                <a:cs typeface="Arial"/>
              </a:rPr>
              <a:t>Revenue</a:t>
            </a:r>
            <a:r>
              <a:rPr lang="en-US" sz="1600" baseline="0">
                <a:latin typeface="Arial"/>
                <a:cs typeface="Arial"/>
              </a:rPr>
              <a:t> by Channel</a:t>
            </a:r>
            <a:endParaRPr lang="en-US" sz="1600">
              <a:latin typeface="Arial"/>
              <a:cs typeface="Arial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YOY!$N$7:$N$14</c:f>
              <c:numCache>
                <c:formatCode>"$"#,##0</c:formatCode>
                <c:ptCount val="8"/>
                <c:pt idx="0">
                  <c:v>3300</c:v>
                </c:pt>
                <c:pt idx="1">
                  <c:v>4500</c:v>
                </c:pt>
                <c:pt idx="2">
                  <c:v>3000</c:v>
                </c:pt>
                <c:pt idx="3">
                  <c:v>4200</c:v>
                </c:pt>
                <c:pt idx="4">
                  <c:v>3900</c:v>
                </c:pt>
                <c:pt idx="5">
                  <c:v>3600</c:v>
                </c:pt>
                <c:pt idx="6">
                  <c:v>2700</c:v>
                </c:pt>
                <c:pt idx="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Paid Marketing Spend to ROI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YOY!$M$6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YOY!$M$7:$M$14</c:f>
              <c:numCache>
                <c:formatCode>#,##0</c:formatCode>
                <c:ptCount val="8"/>
                <c:pt idx="0">
                  <c:v>995</c:v>
                </c:pt>
                <c:pt idx="1">
                  <c:v>662</c:v>
                </c:pt>
                <c:pt idx="2">
                  <c:v>130</c:v>
                </c:pt>
                <c:pt idx="3">
                  <c:v>525</c:v>
                </c:pt>
                <c:pt idx="4">
                  <c:v>352</c:v>
                </c:pt>
                <c:pt idx="5">
                  <c:v>772</c:v>
                </c:pt>
                <c:pt idx="6">
                  <c:v>435</c:v>
                </c:pt>
                <c:pt idx="7">
                  <c:v>555</c:v>
                </c:pt>
              </c:numCache>
            </c:numRef>
          </c:val>
        </c:ser>
        <c:ser>
          <c:idx val="1"/>
          <c:order val="1"/>
          <c:tx>
            <c:strRef>
              <c:f>YOY!$N$6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YOY!$N$7:$N$14</c:f>
              <c:numCache>
                <c:formatCode>"$"#,##0</c:formatCode>
                <c:ptCount val="8"/>
                <c:pt idx="0">
                  <c:v>3300</c:v>
                </c:pt>
                <c:pt idx="1">
                  <c:v>4500</c:v>
                </c:pt>
                <c:pt idx="2">
                  <c:v>3000</c:v>
                </c:pt>
                <c:pt idx="3">
                  <c:v>4200</c:v>
                </c:pt>
                <c:pt idx="4">
                  <c:v>3900</c:v>
                </c:pt>
                <c:pt idx="5">
                  <c:v>3600</c:v>
                </c:pt>
                <c:pt idx="6">
                  <c:v>2700</c:v>
                </c:pt>
                <c:pt idx="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56999984"/>
        <c:axId val="-257002160"/>
      </c:barChart>
      <c:catAx>
        <c:axId val="-25699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2160"/>
        <c:crosses val="autoZero"/>
        <c:auto val="1"/>
        <c:lblAlgn val="ctr"/>
        <c:lblOffset val="100"/>
        <c:noMultiLvlLbl val="0"/>
      </c:catAx>
      <c:valAx>
        <c:axId val="-25700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99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Campaing Visit</a:t>
            </a:r>
            <a:r>
              <a:rPr lang="en-US" baseline="0"/>
              <a:t> Vs Revenue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YOY!$M$6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YOY!$M$7:$M$14</c:f>
              <c:numCache>
                <c:formatCode>#,##0</c:formatCode>
                <c:ptCount val="8"/>
                <c:pt idx="0">
                  <c:v>995</c:v>
                </c:pt>
                <c:pt idx="1">
                  <c:v>662</c:v>
                </c:pt>
                <c:pt idx="2">
                  <c:v>130</c:v>
                </c:pt>
                <c:pt idx="3">
                  <c:v>525</c:v>
                </c:pt>
                <c:pt idx="4">
                  <c:v>352</c:v>
                </c:pt>
                <c:pt idx="5">
                  <c:v>772</c:v>
                </c:pt>
                <c:pt idx="6">
                  <c:v>435</c:v>
                </c:pt>
                <c:pt idx="7">
                  <c:v>555</c:v>
                </c:pt>
              </c:numCache>
            </c:numRef>
          </c:val>
        </c:ser>
        <c:ser>
          <c:idx val="1"/>
          <c:order val="1"/>
          <c:tx>
            <c:strRef>
              <c:f>YOY!$N$6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YOY!$N$7:$N$14</c:f>
              <c:numCache>
                <c:formatCode>"$"#,##0</c:formatCode>
                <c:ptCount val="8"/>
                <c:pt idx="0">
                  <c:v>3300</c:v>
                </c:pt>
                <c:pt idx="1">
                  <c:v>4500</c:v>
                </c:pt>
                <c:pt idx="2">
                  <c:v>3000</c:v>
                </c:pt>
                <c:pt idx="3">
                  <c:v>4200</c:v>
                </c:pt>
                <c:pt idx="4">
                  <c:v>3900</c:v>
                </c:pt>
                <c:pt idx="5">
                  <c:v>3600</c:v>
                </c:pt>
                <c:pt idx="6">
                  <c:v>2700</c:v>
                </c:pt>
                <c:pt idx="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57006512"/>
        <c:axId val="-256995088"/>
      </c:barChart>
      <c:catAx>
        <c:axId val="-25700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95088"/>
        <c:crosses val="autoZero"/>
        <c:auto val="1"/>
        <c:lblAlgn val="ctr"/>
        <c:lblOffset val="100"/>
        <c:noMultiLvlLbl val="0"/>
      </c:catAx>
      <c:valAx>
        <c:axId val="-25699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6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YOY!$M$6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YOY!$M$7:$M$14</c:f>
              <c:numCache>
                <c:formatCode>#,##0</c:formatCode>
                <c:ptCount val="8"/>
                <c:pt idx="0">
                  <c:v>995</c:v>
                </c:pt>
                <c:pt idx="1">
                  <c:v>662</c:v>
                </c:pt>
                <c:pt idx="2">
                  <c:v>130</c:v>
                </c:pt>
                <c:pt idx="3">
                  <c:v>525</c:v>
                </c:pt>
                <c:pt idx="4">
                  <c:v>352</c:v>
                </c:pt>
                <c:pt idx="5">
                  <c:v>772</c:v>
                </c:pt>
                <c:pt idx="6">
                  <c:v>435</c:v>
                </c:pt>
                <c:pt idx="7">
                  <c:v>555</c:v>
                </c:pt>
              </c:numCache>
            </c:numRef>
          </c:val>
        </c:ser>
        <c:ser>
          <c:idx val="1"/>
          <c:order val="1"/>
          <c:tx>
            <c:strRef>
              <c:f>YOY!$N$6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YOY!$L$7:$L$14</c:f>
              <c:strCache>
                <c:ptCount val="8"/>
                <c:pt idx="0">
                  <c:v>Organic Search</c:v>
                </c:pt>
                <c:pt idx="1">
                  <c:v>Paid Search CPC</c:v>
                </c:pt>
                <c:pt idx="2">
                  <c:v>Visits/Clicks</c:v>
                </c:pt>
                <c:pt idx="3">
                  <c:v>Partners</c:v>
                </c:pt>
                <c:pt idx="4">
                  <c:v>Email</c:v>
                </c:pt>
                <c:pt idx="5">
                  <c:v>Social</c:v>
                </c:pt>
                <c:pt idx="6">
                  <c:v>Direct Traffic</c:v>
                </c:pt>
                <c:pt idx="7">
                  <c:v>Referrals</c:v>
                </c:pt>
              </c:strCache>
            </c:strRef>
          </c:cat>
          <c:val>
            <c:numRef>
              <c:f>YOY!$N$7:$N$14</c:f>
              <c:numCache>
                <c:formatCode>"$"#,##0</c:formatCode>
                <c:ptCount val="8"/>
                <c:pt idx="0">
                  <c:v>3300</c:v>
                </c:pt>
                <c:pt idx="1">
                  <c:v>4500</c:v>
                </c:pt>
                <c:pt idx="2">
                  <c:v>3000</c:v>
                </c:pt>
                <c:pt idx="3">
                  <c:v>4200</c:v>
                </c:pt>
                <c:pt idx="4">
                  <c:v>3900</c:v>
                </c:pt>
                <c:pt idx="5">
                  <c:v>3600</c:v>
                </c:pt>
                <c:pt idx="6">
                  <c:v>2700</c:v>
                </c:pt>
                <c:pt idx="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56996720"/>
        <c:axId val="-257007600"/>
      </c:barChart>
      <c:catAx>
        <c:axId val="-25699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7600"/>
        <c:crosses val="autoZero"/>
        <c:auto val="1"/>
        <c:lblAlgn val="ctr"/>
        <c:lblOffset val="100"/>
        <c:noMultiLvlLbl val="0"/>
      </c:catAx>
      <c:valAx>
        <c:axId val="-25700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96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Google Adwords Performances</a:t>
            </a:r>
          </a:p>
        </c:rich>
      </c:tx>
      <c:layout>
        <c:manualLayout>
          <c:xMode val="edge"/>
          <c:yMode val="edge"/>
          <c:x val="0.42415019824649586"/>
          <c:y val="3.7498287426148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'Google Ads'!$A$7</c:f>
              <c:strCache>
                <c:ptCount val="1"/>
                <c:pt idx="0">
                  <c:v>Impressions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Ads'!$B$7:$M$7</c:f>
              <c:numCache>
                <c:formatCode>_(* #,##0.00_);_(* \(#,##0.00\);_(* "-"??_);_(@_)</c:formatCode>
                <c:ptCount val="12"/>
                <c:pt idx="0">
                  <c:v>8052</c:v>
                </c:pt>
                <c:pt idx="1">
                  <c:v>1472</c:v>
                </c:pt>
                <c:pt idx="2">
                  <c:v>1397</c:v>
                </c:pt>
                <c:pt idx="3">
                  <c:v>3700</c:v>
                </c:pt>
                <c:pt idx="4">
                  <c:v>3529</c:v>
                </c:pt>
                <c:pt idx="5">
                  <c:v>3696</c:v>
                </c:pt>
              </c:numCache>
            </c:numRef>
          </c:val>
        </c:ser>
        <c:ser>
          <c:idx val="1"/>
          <c:order val="1"/>
          <c:tx>
            <c:strRef>
              <c:f>'Google Ads'!$A$8</c:f>
              <c:strCache>
                <c:ptCount val="1"/>
                <c:pt idx="0">
                  <c:v>Clicks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Ads'!$B$8:$M$8</c:f>
              <c:numCache>
                <c:formatCode>General</c:formatCode>
                <c:ptCount val="12"/>
                <c:pt idx="0">
                  <c:v>79</c:v>
                </c:pt>
                <c:pt idx="1">
                  <c:v>19</c:v>
                </c:pt>
                <c:pt idx="2">
                  <c:v>15</c:v>
                </c:pt>
                <c:pt idx="3">
                  <c:v>41</c:v>
                </c:pt>
                <c:pt idx="4">
                  <c:v>55</c:v>
                </c:pt>
                <c:pt idx="5">
                  <c:v>36</c:v>
                </c:pt>
              </c:numCache>
            </c:numRef>
          </c:val>
        </c:ser>
        <c:ser>
          <c:idx val="2"/>
          <c:order val="2"/>
          <c:tx>
            <c:strRef>
              <c:f>'Google Ads'!$A$9</c:f>
              <c:strCache>
                <c:ptCount val="1"/>
                <c:pt idx="0">
                  <c:v>CTR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Ads'!$B$9:$M$9</c:f>
              <c:numCache>
                <c:formatCode>0.00%</c:formatCode>
                <c:ptCount val="12"/>
                <c:pt idx="0">
                  <c:v>9.8112270243417791E-3</c:v>
                </c:pt>
                <c:pt idx="1">
                  <c:v>1.2907608695652174E-2</c:v>
                </c:pt>
                <c:pt idx="2">
                  <c:v>1.0737294201861132E-2</c:v>
                </c:pt>
                <c:pt idx="3">
                  <c:v>1.1081081081081081E-2</c:v>
                </c:pt>
                <c:pt idx="4">
                  <c:v>1.5585151601020119E-2</c:v>
                </c:pt>
                <c:pt idx="5">
                  <c:v>9.74025974025974E-3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'Google Ads'!$A$10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Ads'!$B$10:$M$10</c:f>
              <c:numCache>
                <c:formatCode>"$"#,##0.00</c:formatCode>
                <c:ptCount val="12"/>
                <c:pt idx="0">
                  <c:v>264</c:v>
                </c:pt>
                <c:pt idx="1">
                  <c:v>60</c:v>
                </c:pt>
                <c:pt idx="2">
                  <c:v>41.63</c:v>
                </c:pt>
                <c:pt idx="3">
                  <c:v>125</c:v>
                </c:pt>
                <c:pt idx="4">
                  <c:v>141.54</c:v>
                </c:pt>
                <c:pt idx="5">
                  <c:v>120.53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7007056"/>
        <c:axId val="-256995632"/>
      </c:barChart>
      <c:lineChart>
        <c:grouping val="standard"/>
        <c:varyColors val="0"/>
        <c:ser>
          <c:idx val="4"/>
          <c:order val="4"/>
          <c:tx>
            <c:strRef>
              <c:f>'Google Ads'!$A$11</c:f>
              <c:strCache>
                <c:ptCount val="1"/>
                <c:pt idx="0">
                  <c:v>Conversions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Ads'!$B$11:$M$11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'Google Ads'!$A$12</c:f>
              <c:strCache>
                <c:ptCount val="1"/>
                <c:pt idx="0">
                  <c:v>Conversion rate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Ads'!$B$12:$M$12</c:f>
              <c:numCache>
                <c:formatCode>0.00%</c:formatCode>
                <c:ptCount val="12"/>
                <c:pt idx="0">
                  <c:v>3.7974683544303799E-2</c:v>
                </c:pt>
                <c:pt idx="1">
                  <c:v>0</c:v>
                </c:pt>
                <c:pt idx="2">
                  <c:v>0</c:v>
                </c:pt>
                <c:pt idx="3">
                  <c:v>4.878048780487805E-2</c:v>
                </c:pt>
                <c:pt idx="4">
                  <c:v>1.8181818181818181E-2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'Google Ads'!$A$13</c:f>
              <c:strCache>
                <c:ptCount val="1"/>
                <c:pt idx="0">
                  <c:v>Cost per conversion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Ads'!$B$13:$M$13</c:f>
              <c:numCache>
                <c:formatCode>"$"#,##0.00</c:formatCode>
                <c:ptCount val="12"/>
                <c:pt idx="0">
                  <c:v>88</c:v>
                </c:pt>
                <c:pt idx="1">
                  <c:v>0</c:v>
                </c:pt>
                <c:pt idx="2">
                  <c:v>0</c:v>
                </c:pt>
                <c:pt idx="3">
                  <c:v>62.5</c:v>
                </c:pt>
                <c:pt idx="4">
                  <c:v>141.54</c:v>
                </c:pt>
                <c:pt idx="5">
                  <c:v>20.088333333333335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'Google Ads'!$A$14</c:f>
              <c:strCache>
                <c:ptCount val="1"/>
                <c:pt idx="0">
                  <c:v>Avg. CPC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Ads'!$B$6:$M$6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Ads'!$B$14:$M$14</c:f>
              <c:numCache>
                <c:formatCode>"$"#,##0.00</c:formatCode>
                <c:ptCount val="12"/>
                <c:pt idx="0">
                  <c:v>3.3417721518987342</c:v>
                </c:pt>
                <c:pt idx="1">
                  <c:v>3.1578947368421053</c:v>
                </c:pt>
                <c:pt idx="2">
                  <c:v>2.7753333333333337</c:v>
                </c:pt>
                <c:pt idx="3">
                  <c:v>3.0487804878048781</c:v>
                </c:pt>
                <c:pt idx="4">
                  <c:v>2.5734545454545454</c:v>
                </c:pt>
                <c:pt idx="5">
                  <c:v>3.3480555555555558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6986384"/>
        <c:axId val="-256991280"/>
      </c:lineChart>
      <c:catAx>
        <c:axId val="-25700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95632"/>
        <c:crosses val="autoZero"/>
        <c:auto val="1"/>
        <c:lblAlgn val="ctr"/>
        <c:lblOffset val="100"/>
        <c:noMultiLvlLbl val="0"/>
      </c:catAx>
      <c:valAx>
        <c:axId val="-25699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7056"/>
        <c:crosses val="autoZero"/>
        <c:crossBetween val="between"/>
      </c:valAx>
      <c:valAx>
        <c:axId val="-2569912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86384"/>
        <c:crosses val="max"/>
        <c:crossBetween val="between"/>
      </c:valAx>
      <c:catAx>
        <c:axId val="-25698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5699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Network Display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'Google Ads'!$A$22</c:f>
              <c:strCache>
                <c:ptCount val="1"/>
                <c:pt idx="0">
                  <c:v>CTR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Ads'!$B$22:$N$22</c:f>
              <c:numCache>
                <c:formatCode>0.00%</c:formatCode>
                <c:ptCount val="13"/>
                <c:pt idx="0">
                  <c:v>6.4204045734388739E-3</c:v>
                </c:pt>
                <c:pt idx="1">
                  <c:v>6.7196090409285276E-3</c:v>
                </c:pt>
                <c:pt idx="2">
                  <c:v>8.0106809078771702E-3</c:v>
                </c:pt>
                <c:pt idx="3">
                  <c:v>4.8661800486618006E-3</c:v>
                </c:pt>
                <c:pt idx="4">
                  <c:v>9.6153846153846159E-3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7.6053765310484982E-3</c:v>
                </c:pt>
              </c:numCache>
            </c:numRef>
          </c:val>
        </c:ser>
        <c:ser>
          <c:idx val="3"/>
          <c:order val="3"/>
          <c:tx>
            <c:strRef>
              <c:f>'Google Ads'!$A$23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Ads'!$B$23:$N$23</c:f>
              <c:numCache>
                <c:formatCode>"$"#,##0.00</c:formatCode>
                <c:ptCount val="13"/>
                <c:pt idx="0">
                  <c:v>7</c:v>
                </c:pt>
                <c:pt idx="1">
                  <c:v>1</c:v>
                </c:pt>
                <c:pt idx="2">
                  <c:v>1.27</c:v>
                </c:pt>
                <c:pt idx="3">
                  <c:v>1.65</c:v>
                </c:pt>
                <c:pt idx="4">
                  <c:v>1.1200000000000001</c:v>
                </c:pt>
                <c:pt idx="5">
                  <c:v>0.76</c:v>
                </c:pt>
                <c:pt idx="12">
                  <c:v>2.1333333333333333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6993456"/>
        <c:axId val="-257004880"/>
      </c:barChart>
      <c:barChart>
        <c:barDir val="col"/>
        <c:grouping val="clustered"/>
        <c:varyColors val="0"/>
        <c:ser>
          <c:idx val="0"/>
          <c:order val="0"/>
          <c:tx>
            <c:strRef>
              <c:f>'Google Ads'!$A$20</c:f>
              <c:strCache>
                <c:ptCount val="1"/>
                <c:pt idx="0">
                  <c:v>Banners Impressions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Ads'!$B$20:$N$20</c:f>
              <c:numCache>
                <c:formatCode>_(* #,##0.00_);_(* \(#,##0.00\);_(* "-"??_);_(@_)</c:formatCode>
                <c:ptCount val="13"/>
                <c:pt idx="0">
                  <c:v>11370</c:v>
                </c:pt>
                <c:pt idx="1">
                  <c:v>1637</c:v>
                </c:pt>
                <c:pt idx="2">
                  <c:v>1498</c:v>
                </c:pt>
                <c:pt idx="3">
                  <c:v>3288</c:v>
                </c:pt>
                <c:pt idx="4">
                  <c:v>1144</c:v>
                </c:pt>
                <c:pt idx="5">
                  <c:v>700</c:v>
                </c:pt>
                <c:pt idx="12">
                  <c:v>3272.8333333333335</c:v>
                </c:pt>
              </c:numCache>
            </c:numRef>
          </c:val>
        </c:ser>
        <c:ser>
          <c:idx val="1"/>
          <c:order val="1"/>
          <c:tx>
            <c:strRef>
              <c:f>'Google Ads'!$A$21</c:f>
              <c:strCache>
                <c:ptCount val="1"/>
                <c:pt idx="0">
                  <c:v>Visits/Clicks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Ads'!$B$21:$N$21</c:f>
              <c:numCache>
                <c:formatCode>General</c:formatCode>
                <c:ptCount val="13"/>
                <c:pt idx="0">
                  <c:v>73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11</c:v>
                </c:pt>
                <c:pt idx="5">
                  <c:v>7</c:v>
                </c:pt>
                <c:pt idx="12" formatCode="0.00">
                  <c:v>21.666666666666668</c:v>
                </c:pt>
              </c:numCache>
            </c:numRef>
          </c:val>
        </c:ser>
        <c:ser>
          <c:idx val="4"/>
          <c:order val="4"/>
          <c:tx>
            <c:strRef>
              <c:f>'Google Ads'!$A$24</c:f>
              <c:strCache>
                <c:ptCount val="1"/>
                <c:pt idx="0">
                  <c:v>Conversions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Ads'!$B$24:$N$24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7003792"/>
        <c:axId val="-257004336"/>
      </c:barChart>
      <c:lineChart>
        <c:grouping val="standard"/>
        <c:varyColors val="0"/>
        <c:ser>
          <c:idx val="5"/>
          <c:order val="5"/>
          <c:tx>
            <c:strRef>
              <c:f>'Google Ads'!$A$25</c:f>
              <c:strCache>
                <c:ptCount val="1"/>
                <c:pt idx="0">
                  <c:v>Conversion rate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Ads'!$B$25:$N$25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'Google Ads'!$A$26</c:f>
              <c:strCache>
                <c:ptCount val="1"/>
                <c:pt idx="0">
                  <c:v>Interests &amp; remarketing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Ads'!$B$26:$N$26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'Google Ads'!$A$27</c:f>
              <c:strCache>
                <c:ptCount val="1"/>
                <c:pt idx="0">
                  <c:v>Avg. CPC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Ads'!$B$27:$N$27</c:f>
              <c:numCache>
                <c:formatCode>"$"#,##0.00</c:formatCode>
                <c:ptCount val="13"/>
                <c:pt idx="0">
                  <c:v>9.5890410958904104E-2</c:v>
                </c:pt>
                <c:pt idx="1">
                  <c:v>9.0909090909090912E-2</c:v>
                </c:pt>
                <c:pt idx="2">
                  <c:v>0.10583333333333333</c:v>
                </c:pt>
                <c:pt idx="3">
                  <c:v>0.10312499999999999</c:v>
                </c:pt>
                <c:pt idx="4">
                  <c:v>0.10181818181818182</c:v>
                </c:pt>
                <c:pt idx="5">
                  <c:v>0.10857142857142857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0.10102457426515644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'Google Ads'!$A$28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Ads'!$B$28:$N$28</c:f>
              <c:numCache>
                <c:formatCode>0.0</c:formatCode>
                <c:ptCount val="13"/>
              </c:numCache>
            </c:numRef>
          </c:val>
          <c:smooth val="0"/>
        </c:ser>
        <c:ser>
          <c:idx val="9"/>
          <c:order val="9"/>
          <c:tx>
            <c:strRef>
              <c:f>'Google Ads'!$A$29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'Google Ads'!$B$19:$N$19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AVG</c:v>
                </c:pt>
              </c:strCache>
            </c:strRef>
          </c:cat>
          <c:val>
            <c:numRef>
              <c:f>'Google Ads'!$B$29:$N$29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6993456"/>
        <c:axId val="-257004880"/>
      </c:lineChart>
      <c:catAx>
        <c:axId val="-2569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4880"/>
        <c:crosses val="autoZero"/>
        <c:auto val="1"/>
        <c:lblAlgn val="ctr"/>
        <c:lblOffset val="100"/>
        <c:noMultiLvlLbl val="0"/>
      </c:catAx>
      <c:valAx>
        <c:axId val="-2570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93456"/>
        <c:crosses val="autoZero"/>
        <c:crossBetween val="between"/>
      </c:valAx>
      <c:valAx>
        <c:axId val="-25700433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7003792"/>
        <c:crosses val="max"/>
        <c:crossBetween val="between"/>
      </c:valAx>
      <c:catAx>
        <c:axId val="-25700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57004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Google Analytics</a:t>
            </a:r>
            <a:r>
              <a:rPr lang="en-US" baseline="0"/>
              <a:t> Performaces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'Google Analytics'!$A$6</c:f>
              <c:strCache>
                <c:ptCount val="1"/>
                <c:pt idx="0">
                  <c:v>Total visits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Analytics'!$B$6:$M$6</c:f>
              <c:numCache>
                <c:formatCode>General</c:formatCode>
                <c:ptCount val="12"/>
                <c:pt idx="0">
                  <c:v>108</c:v>
                </c:pt>
                <c:pt idx="1">
                  <c:v>183</c:v>
                </c:pt>
                <c:pt idx="2">
                  <c:v>274</c:v>
                </c:pt>
                <c:pt idx="3">
                  <c:v>336</c:v>
                </c:pt>
                <c:pt idx="4">
                  <c:v>377</c:v>
                </c:pt>
                <c:pt idx="5">
                  <c:v>371</c:v>
                </c:pt>
                <c:pt idx="6">
                  <c:v>232</c:v>
                </c:pt>
                <c:pt idx="7">
                  <c:v>233</c:v>
                </c:pt>
                <c:pt idx="8">
                  <c:v>145</c:v>
                </c:pt>
                <c:pt idx="9">
                  <c:v>265</c:v>
                </c:pt>
                <c:pt idx="10">
                  <c:v>410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'Google Analytics'!$A$7</c:f>
              <c:strCache>
                <c:ptCount val="1"/>
                <c:pt idx="0">
                  <c:v>Unique visitors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Analytics'!$B$7:$M$7</c:f>
              <c:numCache>
                <c:formatCode>General</c:formatCode>
                <c:ptCount val="12"/>
                <c:pt idx="0">
                  <c:v>67</c:v>
                </c:pt>
                <c:pt idx="1">
                  <c:v>151</c:v>
                </c:pt>
                <c:pt idx="2">
                  <c:v>229</c:v>
                </c:pt>
                <c:pt idx="3">
                  <c:v>308</c:v>
                </c:pt>
                <c:pt idx="4">
                  <c:v>337</c:v>
                </c:pt>
                <c:pt idx="5">
                  <c:v>324</c:v>
                </c:pt>
                <c:pt idx="6">
                  <c:v>189</c:v>
                </c:pt>
                <c:pt idx="7">
                  <c:v>200</c:v>
                </c:pt>
                <c:pt idx="8">
                  <c:v>110</c:v>
                </c:pt>
                <c:pt idx="9">
                  <c:v>228</c:v>
                </c:pt>
                <c:pt idx="10">
                  <c:v>256</c:v>
                </c:pt>
              </c:numCache>
            </c:numRef>
          </c:val>
        </c:ser>
        <c:ser>
          <c:idx val="2"/>
          <c:order val="2"/>
          <c:tx>
            <c:strRef>
              <c:f>'Google Analytics'!$A$8</c:f>
              <c:strCache>
                <c:ptCount val="1"/>
                <c:pt idx="0">
                  <c:v>Avg session duration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Analytics'!$B$8:$M$8</c:f>
              <c:numCache>
                <c:formatCode>h:mm</c:formatCode>
                <c:ptCount val="12"/>
                <c:pt idx="0">
                  <c:v>3.9583333333333331E-2</c:v>
                </c:pt>
                <c:pt idx="1">
                  <c:v>9.5833333333333326E-2</c:v>
                </c:pt>
                <c:pt idx="2">
                  <c:v>4.6527777777777779E-2</c:v>
                </c:pt>
                <c:pt idx="3">
                  <c:v>4.2361111111111106E-2</c:v>
                </c:pt>
                <c:pt idx="4">
                  <c:v>3.8194444444444441E-2</c:v>
                </c:pt>
                <c:pt idx="5">
                  <c:v>5.0694444444444452E-2</c:v>
                </c:pt>
                <c:pt idx="6">
                  <c:v>5.5555555555555552E-2</c:v>
                </c:pt>
                <c:pt idx="7">
                  <c:v>5.4166666666666669E-2</c:v>
                </c:pt>
                <c:pt idx="8">
                  <c:v>5.9722222222222225E-2</c:v>
                </c:pt>
                <c:pt idx="9">
                  <c:v>3.9583333333333331E-2</c:v>
                </c:pt>
                <c:pt idx="10">
                  <c:v>0.18611111111111112</c:v>
                </c:pt>
              </c:numCache>
            </c:numRef>
          </c:val>
        </c:ser>
        <c:ser>
          <c:idx val="3"/>
          <c:order val="3"/>
          <c:tx>
            <c:strRef>
              <c:f>'Google Analytics'!$A$9</c:f>
              <c:strCache>
                <c:ptCount val="1"/>
                <c:pt idx="0">
                  <c:v>Bounce 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Analytics'!$B$9:$M$9</c:f>
              <c:numCache>
                <c:formatCode>0.00%</c:formatCode>
                <c:ptCount val="12"/>
                <c:pt idx="0">
                  <c:v>0.64649999999999996</c:v>
                </c:pt>
                <c:pt idx="1">
                  <c:v>0.63929999999999998</c:v>
                </c:pt>
                <c:pt idx="2">
                  <c:v>0</c:v>
                </c:pt>
                <c:pt idx="3">
                  <c:v>0</c:v>
                </c:pt>
                <c:pt idx="4">
                  <c:v>0.78779999999999994</c:v>
                </c:pt>
                <c:pt idx="5">
                  <c:v>0</c:v>
                </c:pt>
                <c:pt idx="6">
                  <c:v>0.69830000000000003</c:v>
                </c:pt>
                <c:pt idx="7">
                  <c:v>0.82830000000000004</c:v>
                </c:pt>
                <c:pt idx="8">
                  <c:v>0.67589999999999995</c:v>
                </c:pt>
                <c:pt idx="9">
                  <c:v>0.68679999999999997</c:v>
                </c:pt>
                <c:pt idx="10">
                  <c:v>0.50239999999999996</c:v>
                </c:pt>
              </c:numCache>
            </c:numRef>
          </c:val>
        </c:ser>
        <c:ser>
          <c:idx val="4"/>
          <c:order val="4"/>
          <c:tx>
            <c:strRef>
              <c:f>'Google Analytics'!$A$10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Analytics'!$B$10:$M$10</c:f>
              <c:numCache>
                <c:formatCode>0.00%</c:formatCode>
                <c:ptCount val="12"/>
              </c:numCache>
            </c:numRef>
          </c:val>
        </c:ser>
        <c:ser>
          <c:idx val="5"/>
          <c:order val="5"/>
          <c:tx>
            <c:strRef>
              <c:f>'Google Analytics'!$A$11</c:f>
              <c:strCache>
                <c:ptCount val="1"/>
                <c:pt idx="0">
                  <c:v>Organic Search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Analytics'!$B$11:$M$11</c:f>
              <c:numCache>
                <c:formatCode>General</c:formatCode>
                <c:ptCount val="12"/>
                <c:pt idx="0">
                  <c:v>37</c:v>
                </c:pt>
                <c:pt idx="1">
                  <c:v>85</c:v>
                </c:pt>
                <c:pt idx="2">
                  <c:v>98</c:v>
                </c:pt>
                <c:pt idx="3">
                  <c:v>121</c:v>
                </c:pt>
                <c:pt idx="4">
                  <c:v>107</c:v>
                </c:pt>
                <c:pt idx="5">
                  <c:v>69</c:v>
                </c:pt>
                <c:pt idx="6">
                  <c:v>79</c:v>
                </c:pt>
                <c:pt idx="7">
                  <c:v>145</c:v>
                </c:pt>
                <c:pt idx="8">
                  <c:v>88</c:v>
                </c:pt>
                <c:pt idx="9">
                  <c:v>82</c:v>
                </c:pt>
                <c:pt idx="10">
                  <c:v>84</c:v>
                </c:pt>
              </c:numCache>
            </c:numRef>
          </c:val>
        </c:ser>
        <c:ser>
          <c:idx val="6"/>
          <c:order val="6"/>
          <c:tx>
            <c:strRef>
              <c:f>'Google Analytics'!$A$12</c:f>
              <c:strCache>
                <c:ptCount val="1"/>
                <c:pt idx="0">
                  <c:v>Paid Search CPC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Analytics'!$B$12:$M$12</c:f>
              <c:numCache>
                <c:formatCode>General</c:formatCode>
                <c:ptCount val="12"/>
                <c:pt idx="0">
                  <c:v>24</c:v>
                </c:pt>
                <c:pt idx="1">
                  <c:v>43</c:v>
                </c:pt>
                <c:pt idx="2">
                  <c:v>76</c:v>
                </c:pt>
                <c:pt idx="3">
                  <c:v>79</c:v>
                </c:pt>
                <c:pt idx="4">
                  <c:v>103</c:v>
                </c:pt>
                <c:pt idx="5">
                  <c:v>103</c:v>
                </c:pt>
                <c:pt idx="6">
                  <c:v>49</c:v>
                </c:pt>
                <c:pt idx="7">
                  <c:v>6</c:v>
                </c:pt>
                <c:pt idx="8">
                  <c:v>6</c:v>
                </c:pt>
                <c:pt idx="9">
                  <c:v>74</c:v>
                </c:pt>
                <c:pt idx="10">
                  <c:v>99</c:v>
                </c:pt>
              </c:numCache>
            </c:numRef>
          </c:val>
        </c:ser>
        <c:ser>
          <c:idx val="7"/>
          <c:order val="7"/>
          <c:tx>
            <c:strRef>
              <c:f>'Google Analytics'!$A$13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Analytics'!$B$13:$M$13</c:f>
              <c:numCache>
                <c:formatCode>General</c:formatCode>
                <c:ptCount val="12"/>
                <c:pt idx="0">
                  <c:v>22</c:v>
                </c:pt>
                <c:pt idx="1">
                  <c:v>41</c:v>
                </c:pt>
                <c:pt idx="2">
                  <c:v>39</c:v>
                </c:pt>
                <c:pt idx="3">
                  <c:v>46</c:v>
                </c:pt>
                <c:pt idx="4">
                  <c:v>27</c:v>
                </c:pt>
                <c:pt idx="5">
                  <c:v>41</c:v>
                </c:pt>
                <c:pt idx="6">
                  <c:v>35</c:v>
                </c:pt>
                <c:pt idx="7">
                  <c:v>27</c:v>
                </c:pt>
                <c:pt idx="8">
                  <c:v>44</c:v>
                </c:pt>
                <c:pt idx="9">
                  <c:v>54</c:v>
                </c:pt>
                <c:pt idx="10">
                  <c:v>59</c:v>
                </c:pt>
              </c:numCache>
            </c:numRef>
          </c:val>
        </c:ser>
        <c:ser>
          <c:idx val="8"/>
          <c:order val="8"/>
          <c:tx>
            <c:strRef>
              <c:f>'Google Analytics'!$A$14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Analytics'!$B$14:$M$14</c:f>
              <c:numCache>
                <c:formatCode>General</c:formatCode>
                <c:ptCount val="12"/>
                <c:pt idx="0">
                  <c:v>21</c:v>
                </c:pt>
                <c:pt idx="1">
                  <c:v>8</c:v>
                </c:pt>
                <c:pt idx="2">
                  <c:v>20</c:v>
                </c:pt>
                <c:pt idx="3">
                  <c:v>40</c:v>
                </c:pt>
                <c:pt idx="4">
                  <c:v>92</c:v>
                </c:pt>
                <c:pt idx="5">
                  <c:v>135</c:v>
                </c:pt>
                <c:pt idx="6">
                  <c:v>61</c:v>
                </c:pt>
                <c:pt idx="7">
                  <c:v>55</c:v>
                </c:pt>
                <c:pt idx="8">
                  <c:v>4</c:v>
                </c:pt>
                <c:pt idx="9">
                  <c:v>17</c:v>
                </c:pt>
                <c:pt idx="10">
                  <c:v>102</c:v>
                </c:pt>
              </c:numCache>
            </c:numRef>
          </c:val>
        </c:ser>
        <c:ser>
          <c:idx val="9"/>
          <c:order val="9"/>
          <c:tx>
            <c:strRef>
              <c:f>'Google Analytics'!$A$15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Analytics'!$B$15:$M$15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32</c:v>
                </c:pt>
              </c:numCache>
            </c:numRef>
          </c:val>
        </c:ser>
        <c:ser>
          <c:idx val="10"/>
          <c:order val="10"/>
          <c:tx>
            <c:strRef>
              <c:f>'Google Analytics'!$A$16</c:f>
              <c:strCache>
                <c:ptCount val="1"/>
                <c:pt idx="0">
                  <c:v>Display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Analytics'!$B$16:$M$16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38</c:v>
                </c:pt>
                <c:pt idx="3">
                  <c:v>46</c:v>
                </c:pt>
                <c:pt idx="4">
                  <c:v>43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34</c:v>
                </c:pt>
              </c:numCache>
            </c:numRef>
          </c:val>
        </c:ser>
        <c:ser>
          <c:idx val="11"/>
          <c:order val="11"/>
          <c:tx>
            <c:strRef>
              <c:f>'Google Analytics'!$A$17</c:f>
              <c:strCache>
                <c:ptCount val="1"/>
                <c:pt idx="0">
                  <c:v>Conversion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'Google Analytics'!$B$5:$M$5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'Google Analytics'!$B$17:$M$17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6988016"/>
        <c:axId val="-256984208"/>
      </c:barChart>
      <c:catAx>
        <c:axId val="-25698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84208"/>
        <c:crosses val="autoZero"/>
        <c:auto val="1"/>
        <c:lblAlgn val="ctr"/>
        <c:lblOffset val="100"/>
        <c:noMultiLvlLbl val="0"/>
      </c:catAx>
      <c:valAx>
        <c:axId val="-25698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698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20</xdr:row>
      <xdr:rowOff>47625</xdr:rowOff>
    </xdr:from>
    <xdr:to>
      <xdr:col>14</xdr:col>
      <xdr:colOff>63500</xdr:colOff>
      <xdr:row>37</xdr:row>
      <xdr:rowOff>88900</xdr:rowOff>
    </xdr:to>
    <xdr:graphicFrame macro="">
      <xdr:nvGraphicFramePr>
        <xdr:cNvPr id="1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20</xdr:row>
      <xdr:rowOff>0</xdr:rowOff>
    </xdr:from>
    <xdr:to>
      <xdr:col>13</xdr:col>
      <xdr:colOff>619125</xdr:colOff>
      <xdr:row>34</xdr:row>
      <xdr:rowOff>85725</xdr:rowOff>
    </xdr:to>
    <xdr:sp macro="" textlink="">
      <xdr:nvSpPr>
        <xdr:cNvPr id="12" name="Rectangle 11"/>
        <xdr:cNvSpPr/>
      </xdr:nvSpPr>
      <xdr:spPr>
        <a:xfrm>
          <a:off x="4457700" y="3886200"/>
          <a:ext cx="4333875" cy="2752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238125</xdr:colOff>
      <xdr:row>1</xdr:row>
      <xdr:rowOff>149802</xdr:rowOff>
    </xdr:from>
    <xdr:to>
      <xdr:col>13</xdr:col>
      <xdr:colOff>800100</xdr:colOff>
      <xdr:row>3</xdr:row>
      <xdr:rowOff>83127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330777"/>
          <a:ext cx="1371600" cy="457200"/>
        </a:xfrm>
        <a:prstGeom prst="rect">
          <a:avLst/>
        </a:prstGeom>
      </xdr:spPr>
    </xdr:pic>
    <xdr:clientData/>
  </xdr:twoCellAnchor>
  <xdr:twoCellAnchor>
    <xdr:from>
      <xdr:col>0</xdr:col>
      <xdr:colOff>552449</xdr:colOff>
      <xdr:row>20</xdr:row>
      <xdr:rowOff>9525</xdr:rowOff>
    </xdr:from>
    <xdr:to>
      <xdr:col>8</xdr:col>
      <xdr:colOff>457199</xdr:colOff>
      <xdr:row>36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</xdr:row>
      <xdr:rowOff>66674</xdr:rowOff>
    </xdr:from>
    <xdr:to>
      <xdr:col>0</xdr:col>
      <xdr:colOff>495300</xdr:colOff>
      <xdr:row>5</xdr:row>
      <xdr:rowOff>38099</xdr:rowOff>
    </xdr:to>
    <xdr:sp macro="" textlink="">
      <xdr:nvSpPr>
        <xdr:cNvPr id="2" name="Heptagon 1"/>
        <xdr:cNvSpPr/>
      </xdr:nvSpPr>
      <xdr:spPr>
        <a:xfrm>
          <a:off x="142875" y="962024"/>
          <a:ext cx="352425" cy="352425"/>
        </a:xfrm>
        <a:prstGeom prst="heptagon">
          <a:avLst/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</a:t>
          </a:r>
        </a:p>
      </xdr:txBody>
    </xdr:sp>
    <xdr:clientData/>
  </xdr:twoCellAnchor>
  <xdr:twoCellAnchor>
    <xdr:from>
      <xdr:col>1</xdr:col>
      <xdr:colOff>9524</xdr:colOff>
      <xdr:row>20</xdr:row>
      <xdr:rowOff>19050</xdr:rowOff>
    </xdr:from>
    <xdr:to>
      <xdr:col>8</xdr:col>
      <xdr:colOff>180974</xdr:colOff>
      <xdr:row>37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19</xdr:row>
      <xdr:rowOff>114300</xdr:rowOff>
    </xdr:from>
    <xdr:to>
      <xdr:col>8</xdr:col>
      <xdr:colOff>323850</xdr:colOff>
      <xdr:row>37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29</xdr:row>
      <xdr:rowOff>176211</xdr:rowOff>
    </xdr:from>
    <xdr:to>
      <xdr:col>6</xdr:col>
      <xdr:colOff>685800</xdr:colOff>
      <xdr:row>50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38101</xdr:colOff>
      <xdr:row>29</xdr:row>
      <xdr:rowOff>138112</xdr:rowOff>
    </xdr:from>
    <xdr:to>
      <xdr:col>13</xdr:col>
      <xdr:colOff>838201</xdr:colOff>
      <xdr:row>50</xdr:row>
      <xdr:rowOff>66676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19</xdr:row>
      <xdr:rowOff>166687</xdr:rowOff>
    </xdr:from>
    <xdr:to>
      <xdr:col>14</xdr:col>
      <xdr:colOff>19050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2"/>
  <sheetViews>
    <sheetView showGridLines="0" tabSelected="1" workbookViewId="0">
      <selection activeCell="M39" sqref="M39:N39"/>
    </sheetView>
  </sheetViews>
  <sheetFormatPr defaultColWidth="8.85546875" defaultRowHeight="14.25" x14ac:dyDescent="0.2"/>
  <cols>
    <col min="1" max="1" width="8.85546875" style="10"/>
    <col min="2" max="2" width="5.85546875" style="10" customWidth="1"/>
    <col min="3" max="3" width="21.5703125" style="10" customWidth="1"/>
    <col min="4" max="4" width="13.85546875" style="10" customWidth="1"/>
    <col min="5" max="5" width="13.28515625" style="10" customWidth="1"/>
    <col min="6" max="6" width="15.85546875" style="10" customWidth="1"/>
    <col min="7" max="7" width="11.140625" style="10" customWidth="1"/>
    <col min="8" max="8" width="13.42578125" style="10" customWidth="1"/>
    <col min="9" max="9" width="14.140625" style="10" customWidth="1"/>
    <col min="10" max="10" width="11.28515625" style="10" customWidth="1"/>
    <col min="11" max="11" width="12.85546875" style="10" customWidth="1"/>
    <col min="12" max="12" width="2" style="10" customWidth="1"/>
    <col min="13" max="13" width="12.140625" style="10" customWidth="1"/>
    <col min="14" max="14" width="17.140625" style="10" customWidth="1"/>
    <col min="15" max="15" width="2.7109375" style="10" customWidth="1"/>
    <col min="16" max="16384" width="8.85546875" style="10"/>
  </cols>
  <sheetData>
    <row r="2" spans="2:22" x14ac:dyDescent="0.2">
      <c r="M2" s="235"/>
      <c r="N2" s="236"/>
    </row>
    <row r="3" spans="2:22" ht="27" x14ac:dyDescent="0.4">
      <c r="B3" s="11" t="s">
        <v>100</v>
      </c>
      <c r="C3" s="12"/>
      <c r="D3" s="12"/>
      <c r="E3" s="12"/>
      <c r="F3" s="12"/>
      <c r="G3" s="12"/>
      <c r="I3" s="28"/>
      <c r="M3" s="236"/>
      <c r="N3" s="236"/>
    </row>
    <row r="4" spans="2:22" ht="15" thickBot="1" x14ac:dyDescent="0.25">
      <c r="M4" s="236"/>
      <c r="N4" s="236"/>
    </row>
    <row r="5" spans="2:22" ht="30" x14ac:dyDescent="0.25">
      <c r="B5" s="239" t="s">
        <v>37</v>
      </c>
      <c r="C5" s="240"/>
      <c r="D5" s="163" t="s">
        <v>77</v>
      </c>
      <c r="E5" s="163" t="s">
        <v>3</v>
      </c>
      <c r="F5" s="163" t="s">
        <v>59</v>
      </c>
      <c r="G5" s="163" t="s">
        <v>80</v>
      </c>
      <c r="H5" s="163" t="s">
        <v>11</v>
      </c>
      <c r="I5" s="163" t="s">
        <v>4</v>
      </c>
      <c r="J5" s="163" t="s">
        <v>2</v>
      </c>
      <c r="K5" s="163" t="s">
        <v>6</v>
      </c>
      <c r="M5" s="259" t="s">
        <v>92</v>
      </c>
      <c r="N5" s="259"/>
    </row>
    <row r="6" spans="2:22" ht="15.95" customHeight="1" x14ac:dyDescent="0.25">
      <c r="B6" s="197"/>
      <c r="C6" s="198" t="s">
        <v>0</v>
      </c>
      <c r="D6" s="192">
        <f>IF(ISNA(HLOOKUP($B$5,AnalyticsTABLE,2,0)),"",HLOOKUP($B$5,AnalyticsTABLE,2,0))</f>
        <v>371</v>
      </c>
      <c r="E6" s="222">
        <f>IF(ISNA(HLOOKUP($B$5,AnalyticsTABLE,14,0)),"",HLOOKUP($B$5,AnalyticsTABLE,14,0))</f>
        <v>90</v>
      </c>
      <c r="F6" s="165">
        <f>HLOOKUP($B$5,AdwordsTable,6,0)</f>
        <v>6</v>
      </c>
      <c r="G6" s="228">
        <v>3</v>
      </c>
      <c r="H6" s="166">
        <f>HLOOKUP($B$5,AdwordsTable,2,0)</f>
        <v>3696</v>
      </c>
      <c r="I6" s="167">
        <f>HLOOKUP($B$5,AdwordsTable,4,0)</f>
        <v>9.74025974025974E-3</v>
      </c>
      <c r="J6" s="168">
        <f>HLOOKUP($B$5,AdwordsTable,5,0)</f>
        <v>120.53</v>
      </c>
      <c r="K6" s="169">
        <f>IFERROR(E6/J6,0)</f>
        <v>0.74670206587571564</v>
      </c>
      <c r="M6" s="242" t="s">
        <v>69</v>
      </c>
      <c r="N6" s="243"/>
      <c r="V6" s="202"/>
    </row>
    <row r="7" spans="2:22" ht="18.95" customHeight="1" x14ac:dyDescent="0.25">
      <c r="B7" s="246" t="s">
        <v>83</v>
      </c>
      <c r="C7" s="198" t="s">
        <v>20</v>
      </c>
      <c r="D7" s="192">
        <f>IF(ISNA(HLOOKUP($B$5,AnalyticsTABLE,11,0)),"",HLOOKUP($B$5,AnalyticsTABLE,11,0))</f>
        <v>12</v>
      </c>
      <c r="E7" s="222">
        <f>IF(ISNA(HLOOKUP($B$5,socialMediaTABLE,13,0)),"",HLOOKUP($B$5,socialMediaTABLE,13,0))</f>
        <v>102</v>
      </c>
      <c r="F7" s="164">
        <f>IF(ISNA(HLOOKUP($B$5,socialMediaTABLE,7,0)),"",HLOOKUP($B$5,socialMediaTABLE,7,0))</f>
        <v>17</v>
      </c>
      <c r="G7" s="229">
        <v>1</v>
      </c>
      <c r="H7" s="164">
        <f>IF(ISNA(HLOOKUP($B$5,socialMediaTABLE,2,0)),"",HLOOKUP($B$5,socialMediaTABLE,2,0))</f>
        <v>2949</v>
      </c>
      <c r="I7" s="170">
        <f>IF(ISNA(HLOOKUP($B$5+socialMediaTABLE,4,0)),"",HLOOKUP($B$5,socialMediaTABLE,4,0))</f>
        <v>1.6615801966768397E-2</v>
      </c>
      <c r="J7" s="171">
        <f>IF(ISNA(HLOOKUP($B$5,socialMediaTABLE,6,0)),"",HLOOKUP($B$5,socialMediaTABLE,6,0))</f>
        <v>47.91</v>
      </c>
      <c r="K7" s="169">
        <f t="shared" ref="K7:K9" si="0">IFERROR(E7/J7,0)</f>
        <v>2.128991859737007</v>
      </c>
      <c r="M7" s="248">
        <f>IF(ISNA(VLOOKUP(M6,AnalyticsTABLE,14,0)),"",VLOOKUP(M6,AnalyticsTABLE,14,0))</f>
        <v>2934</v>
      </c>
      <c r="N7" s="249"/>
    </row>
    <row r="8" spans="2:22" ht="18" customHeight="1" x14ac:dyDescent="0.25">
      <c r="B8" s="246"/>
      <c r="C8" s="199" t="s">
        <v>25</v>
      </c>
      <c r="D8" s="192">
        <f>IF(ISNA(HLOOKUP($B$5,NetworkDisplayTABLE,3,0)),"",HLOOKUP($B$5,NetworkDisplayTABLE,3,0))</f>
        <v>7</v>
      </c>
      <c r="E8" s="222">
        <f>IF(ISNA(HLOOKUP($B$5,NetworkDisplayTABLE,11,0)),"",HLOOKUP($B$5,NetworkDisplayTABLE,11,0))</f>
        <v>0</v>
      </c>
      <c r="F8" s="164">
        <f>IF(ISNA(HLOOKUP($B$5,NetworkDisplayTABLE,6,0)),"",HLOOKUP($B$5,NetworkDisplayTABLE,6,0))</f>
        <v>0</v>
      </c>
      <c r="G8" s="229">
        <v>1</v>
      </c>
      <c r="H8" s="164">
        <f>IF(ISNA(HLOOKUP($B$5,NetworkDisplayTABLE,2,0)),"",HLOOKUP($B$5,NetworkDisplayTABLE,2,0))</f>
        <v>700</v>
      </c>
      <c r="I8" s="170">
        <f>IFERROR(F8/D8,0)</f>
        <v>0</v>
      </c>
      <c r="J8" s="171">
        <f>IF(ISNA(HLOOKUP($B$5,NetworkDisplayTABLE,5,0)),"",HLOOKUP($B$5,NetworkDisplayTABLE,5,0))</f>
        <v>0.76</v>
      </c>
      <c r="K8" s="169">
        <f t="shared" si="0"/>
        <v>0</v>
      </c>
      <c r="M8" s="250"/>
      <c r="N8" s="251"/>
    </row>
    <row r="9" spans="2:22" ht="17.100000000000001" customHeight="1" x14ac:dyDescent="0.25">
      <c r="B9" s="246"/>
      <c r="C9" s="198"/>
      <c r="D9" s="192"/>
      <c r="E9" s="172"/>
      <c r="F9" s="174"/>
      <c r="G9" s="229"/>
      <c r="H9" s="175"/>
      <c r="I9" s="170"/>
      <c r="J9" s="176"/>
      <c r="K9" s="169">
        <f t="shared" si="0"/>
        <v>0</v>
      </c>
    </row>
    <row r="10" spans="2:22" ht="33" customHeight="1" x14ac:dyDescent="0.2">
      <c r="B10" s="247"/>
      <c r="C10" s="200" t="s">
        <v>21</v>
      </c>
      <c r="D10" s="193">
        <f>SUM(D6:D9)</f>
        <v>390</v>
      </c>
      <c r="E10" s="178">
        <f>SUM(E6:E9)</f>
        <v>192</v>
      </c>
      <c r="F10" s="179">
        <f>SUM(F6:F9)</f>
        <v>23</v>
      </c>
      <c r="G10" s="177">
        <f>SUM(G6:G9)</f>
        <v>5</v>
      </c>
      <c r="H10" s="177">
        <f t="shared" ref="H10" si="1">SUM(H6:H9)</f>
        <v>7345</v>
      </c>
      <c r="I10" s="180">
        <f>AVERAGE(I6:I9)</f>
        <v>8.7853539023427119E-3</v>
      </c>
      <c r="J10" s="178">
        <f>SUM(J6:J9)</f>
        <v>169.2</v>
      </c>
      <c r="K10" s="181">
        <f>AVERAGE(K6:K9)</f>
        <v>0.71892348140318063</v>
      </c>
      <c r="M10" s="244" t="s">
        <v>78</v>
      </c>
      <c r="N10" s="245"/>
    </row>
    <row r="11" spans="2:22" ht="15" x14ac:dyDescent="0.25">
      <c r="B11" s="246" t="s">
        <v>12</v>
      </c>
      <c r="C11" s="198" t="s">
        <v>26</v>
      </c>
      <c r="D11" s="203">
        <v>2515</v>
      </c>
      <c r="E11" s="176">
        <f>EarnedMedia!B8</f>
        <v>0</v>
      </c>
      <c r="F11" s="182">
        <v>5</v>
      </c>
      <c r="G11" s="173">
        <f>EarnedMedia!C8</f>
        <v>0</v>
      </c>
      <c r="H11" s="175">
        <f>EarnedMedia!E8</f>
        <v>0</v>
      </c>
      <c r="I11" s="170">
        <f t="shared" ref="I11:I17" si="2">F11/D11</f>
        <v>1.9880715705765406E-3</v>
      </c>
      <c r="J11" s="241"/>
      <c r="K11" s="241"/>
      <c r="M11" s="252">
        <f>HLOOKUP(B5,AdwordsTable,7,0)</f>
        <v>0.16666666666666666</v>
      </c>
      <c r="N11" s="253"/>
    </row>
    <row r="12" spans="2:22" ht="17.100000000000001" customHeight="1" x14ac:dyDescent="0.25">
      <c r="B12" s="246"/>
      <c r="C12" s="198" t="s">
        <v>7</v>
      </c>
      <c r="D12" s="194">
        <f>EarnedMedia!E4+EarnedMedia!E8</f>
        <v>377</v>
      </c>
      <c r="E12" s="176">
        <f>EarnedMedia!B4+EarnedMedia!B8</f>
        <v>0</v>
      </c>
      <c r="F12" s="182">
        <v>18</v>
      </c>
      <c r="G12" s="173">
        <v>50</v>
      </c>
      <c r="H12" s="175">
        <f>EarnedMedia!D4+EarnedMedia!D8</f>
        <v>51</v>
      </c>
      <c r="I12" s="170">
        <f t="shared" si="2"/>
        <v>4.7745358090185673E-2</v>
      </c>
      <c r="J12" s="241"/>
      <c r="K12" s="241"/>
      <c r="M12" s="254"/>
      <c r="N12" s="255"/>
    </row>
    <row r="13" spans="2:22" ht="15" x14ac:dyDescent="0.25">
      <c r="B13" s="246"/>
      <c r="C13" s="198" t="s">
        <v>23</v>
      </c>
      <c r="D13" s="194">
        <f>EarnedMedia!E10</f>
        <v>5</v>
      </c>
      <c r="E13" s="176">
        <f>EarnedMedia!B10</f>
        <v>324</v>
      </c>
      <c r="F13" s="182">
        <v>2</v>
      </c>
      <c r="G13" s="173">
        <f>EarnedMedia!C10</f>
        <v>0</v>
      </c>
      <c r="H13" s="175">
        <f>EarnedMedia!D10</f>
        <v>3</v>
      </c>
      <c r="I13" s="170">
        <f t="shared" si="2"/>
        <v>0.4</v>
      </c>
      <c r="J13" s="241"/>
      <c r="K13" s="241"/>
    </row>
    <row r="14" spans="2:22" ht="15.75" x14ac:dyDescent="0.25">
      <c r="B14" s="246"/>
      <c r="C14" s="198" t="s">
        <v>8</v>
      </c>
      <c r="D14" s="194">
        <f>EarnedMedia!E5</f>
        <v>27</v>
      </c>
      <c r="E14" s="176">
        <f>EarnedMedia!B5</f>
        <v>0</v>
      </c>
      <c r="F14" s="182">
        <v>20</v>
      </c>
      <c r="G14" s="173">
        <v>25</v>
      </c>
      <c r="H14" s="175">
        <f>EarnedMedia!D5</f>
        <v>10</v>
      </c>
      <c r="I14" s="170">
        <f t="shared" si="2"/>
        <v>0.7407407407407407</v>
      </c>
      <c r="J14" s="241"/>
      <c r="K14" s="241"/>
      <c r="M14" s="244" t="s">
        <v>93</v>
      </c>
      <c r="N14" s="258"/>
    </row>
    <row r="15" spans="2:22" ht="18.95" customHeight="1" x14ac:dyDescent="0.25">
      <c r="B15" s="246"/>
      <c r="C15" s="198" t="s">
        <v>9</v>
      </c>
      <c r="D15" s="194">
        <f>EarnedMedia!E6</f>
        <v>92</v>
      </c>
      <c r="E15" s="176">
        <f>EarnedMedia!B6</f>
        <v>0</v>
      </c>
      <c r="F15" s="182">
        <v>15</v>
      </c>
      <c r="G15" s="173">
        <v>12</v>
      </c>
      <c r="H15" s="175">
        <f>EarnedMedia!D6</f>
        <v>1</v>
      </c>
      <c r="I15" s="170">
        <f t="shared" si="2"/>
        <v>0.16304347826086957</v>
      </c>
      <c r="J15" s="241"/>
      <c r="K15" s="241"/>
      <c r="M15" s="261">
        <f>HLOOKUP(B5,AdwordsTable,8,0)</f>
        <v>20.088333333333335</v>
      </c>
      <c r="N15" s="262"/>
    </row>
    <row r="16" spans="2:22" ht="18.95" customHeight="1" x14ac:dyDescent="0.25">
      <c r="B16" s="246"/>
      <c r="C16" s="198" t="s">
        <v>31</v>
      </c>
      <c r="D16" s="194">
        <v>75000</v>
      </c>
      <c r="E16" s="176">
        <f>EarnedMedia!B11</f>
        <v>0</v>
      </c>
      <c r="F16" s="182">
        <v>10</v>
      </c>
      <c r="G16" s="173">
        <v>2</v>
      </c>
      <c r="H16" s="175">
        <f>EarnedMedia!D11</f>
        <v>10</v>
      </c>
      <c r="I16" s="170">
        <f t="shared" si="2"/>
        <v>1.3333333333333334E-4</v>
      </c>
      <c r="J16" s="241"/>
      <c r="K16" s="241"/>
      <c r="M16" s="263"/>
      <c r="N16" s="264"/>
    </row>
    <row r="17" spans="2:14" ht="15" x14ac:dyDescent="0.25">
      <c r="B17" s="246"/>
      <c r="C17" s="198" t="s">
        <v>10</v>
      </c>
      <c r="D17" s="194">
        <v>20000</v>
      </c>
      <c r="E17" s="176">
        <f>EarnedMedia!B9</f>
        <v>0</v>
      </c>
      <c r="F17" s="182">
        <v>5</v>
      </c>
      <c r="G17" s="173">
        <v>30</v>
      </c>
      <c r="H17" s="175">
        <f>EarnedMedia!D9</f>
        <v>2</v>
      </c>
      <c r="I17" s="170">
        <f t="shared" si="2"/>
        <v>2.5000000000000001E-4</v>
      </c>
      <c r="J17" s="241"/>
      <c r="K17" s="241"/>
    </row>
    <row r="18" spans="2:14" ht="15.75" x14ac:dyDescent="0.25">
      <c r="B18" s="246"/>
      <c r="C18" s="201" t="s">
        <v>21</v>
      </c>
      <c r="D18" s="195">
        <f>SUM(D11:D17)</f>
        <v>98016</v>
      </c>
      <c r="E18" s="184">
        <f>SUM(E11:E17)</f>
        <v>324</v>
      </c>
      <c r="F18" s="185">
        <f>SUM(F11:F17)</f>
        <v>75</v>
      </c>
      <c r="G18" s="183">
        <f>SUM(G11:G17)+EarnedMedia!C12+EarnedMedia!C13</f>
        <v>119</v>
      </c>
      <c r="H18" s="183">
        <f>SUM(H11:H17)+EarnedMedia!D12+EarnedMedia!D13</f>
        <v>78</v>
      </c>
      <c r="I18" s="186">
        <f>AVERAGE(I11:I17)</f>
        <v>0.19341442599938657</v>
      </c>
      <c r="J18" s="241"/>
      <c r="K18" s="241"/>
      <c r="M18" s="244" t="s">
        <v>24</v>
      </c>
      <c r="N18" s="258"/>
    </row>
    <row r="19" spans="2:14" ht="29.25" customHeight="1" thickBot="1" x14ac:dyDescent="0.25">
      <c r="B19" s="233" t="s">
        <v>22</v>
      </c>
      <c r="C19" s="234"/>
      <c r="D19" s="196">
        <f>D18+D10</f>
        <v>98406</v>
      </c>
      <c r="E19" s="188">
        <f>E18+E10</f>
        <v>516</v>
      </c>
      <c r="F19" s="189">
        <f>F18+F10</f>
        <v>98</v>
      </c>
      <c r="G19" s="187">
        <f>G18+G10</f>
        <v>124</v>
      </c>
      <c r="H19" s="187">
        <f>H18+H10</f>
        <v>7423</v>
      </c>
      <c r="I19" s="190">
        <f>AVERAGE(I6:I18)</f>
        <v>0.13187140196703862</v>
      </c>
      <c r="J19" s="188">
        <f>J10</f>
        <v>169.2</v>
      </c>
      <c r="K19" s="191">
        <f>AVERAGE(K6:K9)</f>
        <v>0.71892348140318063</v>
      </c>
      <c r="M19" s="256">
        <f>K19</f>
        <v>0.71892348140318063</v>
      </c>
      <c r="N19" s="257"/>
    </row>
    <row r="20" spans="2:14" ht="10.5" customHeight="1" x14ac:dyDescent="0.2">
      <c r="E20" s="17"/>
      <c r="F20" s="17"/>
      <c r="I20" s="18"/>
    </row>
    <row r="21" spans="2:14" ht="15" x14ac:dyDescent="0.25">
      <c r="C21" s="19"/>
      <c r="E21" s="20"/>
      <c r="F21" s="20"/>
      <c r="G21" s="20"/>
    </row>
    <row r="22" spans="2:14" ht="15" x14ac:dyDescent="0.2">
      <c r="C22" s="21"/>
      <c r="E22" s="22"/>
      <c r="F22" s="22"/>
      <c r="G22" s="22"/>
    </row>
    <row r="23" spans="2:14" ht="15" x14ac:dyDescent="0.2">
      <c r="C23" s="21"/>
      <c r="E23" s="22"/>
      <c r="F23" s="22"/>
      <c r="G23" s="22"/>
    </row>
    <row r="24" spans="2:14" ht="15" x14ac:dyDescent="0.2">
      <c r="C24" s="21"/>
      <c r="E24" s="22"/>
      <c r="F24" s="22"/>
      <c r="G24" s="22"/>
    </row>
    <row r="25" spans="2:14" ht="15" x14ac:dyDescent="0.2">
      <c r="C25" s="21"/>
      <c r="E25" s="22"/>
      <c r="F25" s="22"/>
      <c r="G25" s="22"/>
    </row>
    <row r="26" spans="2:14" x14ac:dyDescent="0.2">
      <c r="C26" s="23"/>
      <c r="E26" s="24"/>
      <c r="F26" s="24"/>
      <c r="G26" s="24"/>
    </row>
    <row r="27" spans="2:14" x14ac:dyDescent="0.2">
      <c r="C27" s="24"/>
      <c r="E27" s="24"/>
      <c r="F27" s="24"/>
      <c r="G27" s="24"/>
    </row>
    <row r="28" spans="2:14" x14ac:dyDescent="0.2">
      <c r="E28" s="24"/>
      <c r="F28" s="24"/>
      <c r="G28" s="24"/>
    </row>
    <row r="29" spans="2:14" x14ac:dyDescent="0.2">
      <c r="C29" s="23"/>
      <c r="E29" s="24"/>
      <c r="F29" s="24"/>
      <c r="G29" s="24"/>
    </row>
    <row r="30" spans="2:14" x14ac:dyDescent="0.2">
      <c r="C30" s="24"/>
      <c r="E30" s="24"/>
      <c r="F30" s="24"/>
      <c r="G30" s="24"/>
    </row>
    <row r="31" spans="2:14" x14ac:dyDescent="0.2">
      <c r="E31" s="24"/>
      <c r="F31" s="24"/>
      <c r="G31" s="24"/>
    </row>
    <row r="32" spans="2:14" x14ac:dyDescent="0.2">
      <c r="C32" s="23"/>
      <c r="E32" s="24"/>
      <c r="F32" s="24"/>
      <c r="G32" s="24"/>
    </row>
    <row r="33" spans="2:26" x14ac:dyDescent="0.2">
      <c r="C33" s="24"/>
      <c r="E33" s="24"/>
      <c r="F33" s="24"/>
      <c r="G33" s="24"/>
    </row>
    <row r="36" spans="2:26" x14ac:dyDescent="0.2">
      <c r="B36" s="25"/>
      <c r="C36" s="103"/>
      <c r="D36" s="104"/>
      <c r="E36" s="104"/>
      <c r="F36" s="104"/>
      <c r="G36" s="104"/>
      <c r="H36" s="25"/>
      <c r="I36" s="260"/>
      <c r="J36" s="260"/>
      <c r="K36" s="260"/>
      <c r="L36" s="260"/>
      <c r="M36" s="260"/>
      <c r="N36" s="25"/>
    </row>
    <row r="37" spans="2:26" x14ac:dyDescent="0.2">
      <c r="B37" s="25"/>
      <c r="C37" s="104"/>
      <c r="D37" s="104"/>
      <c r="E37" s="104"/>
      <c r="F37" s="104"/>
      <c r="G37" s="104"/>
      <c r="H37" s="25"/>
      <c r="I37" s="260"/>
      <c r="J37" s="260"/>
      <c r="K37" s="260"/>
      <c r="L37" s="260"/>
      <c r="M37" s="260"/>
      <c r="N37" s="25"/>
    </row>
    <row r="38" spans="2:26" x14ac:dyDescent="0.2">
      <c r="B38" s="25"/>
      <c r="C38" s="104"/>
      <c r="D38" s="104"/>
      <c r="E38" s="104"/>
      <c r="F38" s="104"/>
      <c r="G38" s="104"/>
      <c r="H38" s="25"/>
      <c r="I38" s="260"/>
      <c r="J38" s="260"/>
      <c r="K38" s="260"/>
      <c r="L38" s="260"/>
      <c r="M38" s="260"/>
      <c r="N38" s="25"/>
      <c r="Z38" s="26"/>
    </row>
    <row r="39" spans="2:26" x14ac:dyDescent="0.2">
      <c r="B39" s="27"/>
      <c r="C39" s="27"/>
      <c r="D39" s="27"/>
      <c r="E39" s="27"/>
      <c r="F39" s="27"/>
      <c r="G39" s="27"/>
      <c r="H39" s="27"/>
      <c r="I39" s="27"/>
      <c r="J39" s="29" t="s">
        <v>27</v>
      </c>
      <c r="K39" s="29"/>
      <c r="L39" s="29"/>
      <c r="M39" s="237">
        <f>I3</f>
        <v>0</v>
      </c>
      <c r="N39" s="238"/>
    </row>
    <row r="41" spans="2:26" x14ac:dyDescent="0.2">
      <c r="B41" s="10" t="s">
        <v>96</v>
      </c>
    </row>
    <row r="42" spans="2:26" x14ac:dyDescent="0.2">
      <c r="B42" s="58"/>
    </row>
  </sheetData>
  <sheetProtection selectLockedCells="1"/>
  <mergeCells count="17">
    <mergeCell ref="M15:N16"/>
    <mergeCell ref="B19:C19"/>
    <mergeCell ref="M2:N4"/>
    <mergeCell ref="M39:N39"/>
    <mergeCell ref="B5:C5"/>
    <mergeCell ref="J11:K18"/>
    <mergeCell ref="M6:N6"/>
    <mergeCell ref="M10:N10"/>
    <mergeCell ref="B7:B10"/>
    <mergeCell ref="B11:B18"/>
    <mergeCell ref="M7:N8"/>
    <mergeCell ref="M11:N12"/>
    <mergeCell ref="M19:N19"/>
    <mergeCell ref="M14:N14"/>
    <mergeCell ref="M18:N18"/>
    <mergeCell ref="M5:N5"/>
    <mergeCell ref="I36:M38"/>
  </mergeCells>
  <phoneticPr fontId="7" type="noConversion"/>
  <dataValidations count="1">
    <dataValidation type="list" allowBlank="1" showInputMessage="1" showErrorMessage="1" sqref="B5:C5">
      <formula1>Months</formula1>
    </dataValidation>
  </dataValidations>
  <printOptions horizontalCentered="1" verticalCentered="1"/>
  <pageMargins left="0.25" right="0.25" top="0.75" bottom="0.75" header="0.3" footer="0.3"/>
  <pageSetup scale="76" orientation="landscape" r:id="rId1"/>
  <customProperties>
    <customPr name="LastActive" r:id="rId2"/>
    <customPr name="ORB_SHEETNAME" r:id="rId3"/>
  </customPropertie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9"/>
  <sheetViews>
    <sheetView showGridLines="0" workbookViewId="0">
      <selection activeCell="T34" sqref="T34"/>
    </sheetView>
  </sheetViews>
  <sheetFormatPr defaultColWidth="8.85546875" defaultRowHeight="15" x14ac:dyDescent="0.25"/>
  <cols>
    <col min="1" max="1" width="23.5703125" customWidth="1"/>
    <col min="2" max="9" width="12.7109375" customWidth="1"/>
    <col min="10" max="10" width="14.140625" customWidth="1"/>
    <col min="11" max="11" width="12.7109375" customWidth="1"/>
    <col min="12" max="12" width="13.28515625" customWidth="1"/>
    <col min="13" max="13" width="14" customWidth="1"/>
    <col min="14" max="14" width="12.85546875" customWidth="1"/>
    <col min="15" max="15" width="1.140625" customWidth="1"/>
    <col min="16" max="16" width="15.140625" customWidth="1"/>
  </cols>
  <sheetData>
    <row r="3" spans="1:16" ht="23.25" x14ac:dyDescent="0.35">
      <c r="A3" s="267" t="s">
        <v>87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s="6" customFormat="1" ht="9" customHeight="1" thickBot="1" x14ac:dyDescent="0.3">
      <c r="A4" s="33"/>
      <c r="B4" s="34"/>
      <c r="C4" s="34"/>
      <c r="D4" s="34"/>
      <c r="E4" s="34"/>
      <c r="F4" s="34"/>
      <c r="G4" s="33"/>
      <c r="H4" s="33"/>
      <c r="I4" s="33"/>
      <c r="J4" s="33"/>
      <c r="K4" s="34"/>
    </row>
    <row r="5" spans="1:16" s="6" customFormat="1" ht="25.5" customHeight="1" x14ac:dyDescent="0.25">
      <c r="A5" s="105"/>
      <c r="B5" s="265" t="s">
        <v>44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P5" s="162"/>
    </row>
    <row r="6" spans="1:16" s="6" customFormat="1" ht="25.5" customHeight="1" x14ac:dyDescent="0.25">
      <c r="A6" s="106"/>
      <c r="B6" s="32" t="s">
        <v>32</v>
      </c>
      <c r="C6" s="32" t="s">
        <v>33</v>
      </c>
      <c r="D6" s="32" t="s">
        <v>34</v>
      </c>
      <c r="E6" s="32" t="s">
        <v>35</v>
      </c>
      <c r="F6" s="32" t="s">
        <v>36</v>
      </c>
      <c r="G6" s="32" t="s">
        <v>37</v>
      </c>
      <c r="H6" s="32" t="s">
        <v>38</v>
      </c>
      <c r="I6" s="32" t="s">
        <v>39</v>
      </c>
      <c r="J6" s="32" t="s">
        <v>40</v>
      </c>
      <c r="K6" s="32" t="s">
        <v>41</v>
      </c>
      <c r="L6" s="32" t="s">
        <v>42</v>
      </c>
      <c r="M6" s="32" t="s">
        <v>43</v>
      </c>
      <c r="N6" s="95" t="s">
        <v>49</v>
      </c>
      <c r="P6" s="95" t="s">
        <v>50</v>
      </c>
    </row>
    <row r="7" spans="1:16" ht="15" customHeight="1" x14ac:dyDescent="0.25">
      <c r="A7" s="113" t="s">
        <v>11</v>
      </c>
      <c r="B7" s="64">
        <f>6417+1635</f>
        <v>8052</v>
      </c>
      <c r="C7" s="64">
        <f>404+1068</f>
        <v>1472</v>
      </c>
      <c r="D7" s="64">
        <f>406+991</f>
        <v>1397</v>
      </c>
      <c r="E7" s="64">
        <f>671+3029</f>
        <v>3700</v>
      </c>
      <c r="F7" s="64">
        <f>723+2806</f>
        <v>3529</v>
      </c>
      <c r="G7" s="64">
        <f>868+2828</f>
        <v>3696</v>
      </c>
      <c r="H7" s="64"/>
      <c r="I7" s="64"/>
      <c r="J7" s="64"/>
      <c r="K7" s="64"/>
      <c r="L7" s="70"/>
      <c r="M7" s="231"/>
      <c r="N7" s="100">
        <f t="shared" ref="N7:P14" si="0">AVERAGE(B7:M7)</f>
        <v>3641</v>
      </c>
      <c r="P7" s="100">
        <f>SUM(B7:M7)</f>
        <v>21846</v>
      </c>
    </row>
    <row r="8" spans="1:16" ht="15" customHeight="1" x14ac:dyDescent="0.25">
      <c r="A8" s="113" t="s">
        <v>57</v>
      </c>
      <c r="B8" s="65">
        <v>79</v>
      </c>
      <c r="C8" s="65">
        <v>19</v>
      </c>
      <c r="D8" s="65">
        <v>15</v>
      </c>
      <c r="E8" s="65">
        <v>41</v>
      </c>
      <c r="F8" s="65">
        <v>55</v>
      </c>
      <c r="G8" s="65">
        <v>36</v>
      </c>
      <c r="H8" s="65"/>
      <c r="I8" s="65"/>
      <c r="J8" s="65"/>
      <c r="K8" s="65"/>
      <c r="L8" s="71"/>
      <c r="M8" s="71"/>
      <c r="N8" s="96">
        <f t="shared" si="0"/>
        <v>40.833333333333336</v>
      </c>
      <c r="P8" s="96">
        <f>SUM(B8:M8)</f>
        <v>245</v>
      </c>
    </row>
    <row r="9" spans="1:16" ht="15" customHeight="1" x14ac:dyDescent="0.25">
      <c r="A9" s="113" t="s">
        <v>4</v>
      </c>
      <c r="B9" s="59">
        <f>IFERROR(B8/B7,"")</f>
        <v>9.8112270243417791E-3</v>
      </c>
      <c r="C9" s="59">
        <f t="shared" ref="C9:M9" si="1">IFERROR(C8/C7,"")</f>
        <v>1.2907608695652174E-2</v>
      </c>
      <c r="D9" s="59">
        <f t="shared" si="1"/>
        <v>1.0737294201861132E-2</v>
      </c>
      <c r="E9" s="59">
        <f t="shared" si="1"/>
        <v>1.1081081081081081E-2</v>
      </c>
      <c r="F9" s="59">
        <f t="shared" si="1"/>
        <v>1.5585151601020119E-2</v>
      </c>
      <c r="G9" s="59">
        <f t="shared" si="1"/>
        <v>9.74025974025974E-3</v>
      </c>
      <c r="H9" s="59" t="str">
        <f t="shared" si="1"/>
        <v/>
      </c>
      <c r="I9" s="59" t="str">
        <f t="shared" si="1"/>
        <v/>
      </c>
      <c r="J9" s="59" t="str">
        <f t="shared" si="1"/>
        <v/>
      </c>
      <c r="K9" s="59" t="str">
        <f t="shared" si="1"/>
        <v/>
      </c>
      <c r="L9" s="72" t="str">
        <f t="shared" si="1"/>
        <v/>
      </c>
      <c r="M9" s="72" t="str">
        <f t="shared" si="1"/>
        <v/>
      </c>
      <c r="N9" s="97">
        <f t="shared" si="0"/>
        <v>1.1643770390702671E-2</v>
      </c>
      <c r="P9" s="97">
        <f>P8/P7</f>
        <v>1.1214867710335988E-2</v>
      </c>
    </row>
    <row r="10" spans="1:16" ht="15" customHeight="1" x14ac:dyDescent="0.25">
      <c r="A10" s="113" t="s">
        <v>58</v>
      </c>
      <c r="B10" s="66">
        <v>264</v>
      </c>
      <c r="C10" s="66">
        <v>60</v>
      </c>
      <c r="D10" s="66">
        <v>41.63</v>
      </c>
      <c r="E10" s="66">
        <v>125</v>
      </c>
      <c r="F10" s="66">
        <v>141.54</v>
      </c>
      <c r="G10" s="66">
        <v>120.53</v>
      </c>
      <c r="H10" s="66"/>
      <c r="I10" s="66"/>
      <c r="J10" s="66"/>
      <c r="K10" s="66"/>
      <c r="L10" s="73"/>
      <c r="M10" s="232"/>
      <c r="N10" s="98">
        <f t="shared" si="0"/>
        <v>125.44999999999999</v>
      </c>
      <c r="P10" s="98">
        <f>SUM(B10:M10)</f>
        <v>752.69999999999993</v>
      </c>
    </row>
    <row r="11" spans="1:16" ht="15" customHeight="1" x14ac:dyDescent="0.25">
      <c r="A11" s="113" t="s">
        <v>59</v>
      </c>
      <c r="B11" s="65">
        <v>3</v>
      </c>
      <c r="C11" s="65">
        <v>0</v>
      </c>
      <c r="D11" s="65">
        <v>0</v>
      </c>
      <c r="E11" s="65">
        <v>2</v>
      </c>
      <c r="F11" s="65">
        <v>1</v>
      </c>
      <c r="G11" s="65">
        <v>6</v>
      </c>
      <c r="H11" s="65"/>
      <c r="I11" s="65"/>
      <c r="J11" s="65"/>
      <c r="K11" s="65"/>
      <c r="L11" s="71"/>
      <c r="M11" s="71"/>
      <c r="N11" s="96">
        <f t="shared" si="0"/>
        <v>2</v>
      </c>
      <c r="P11" s="96">
        <f>SUM(B11:M11)</f>
        <v>12</v>
      </c>
    </row>
    <row r="12" spans="1:16" ht="15" customHeight="1" x14ac:dyDescent="0.25">
      <c r="A12" s="113" t="s">
        <v>60</v>
      </c>
      <c r="B12" s="59">
        <f>IFERROR(B11/B8,"")</f>
        <v>3.7974683544303799E-2</v>
      </c>
      <c r="C12" s="59">
        <f t="shared" ref="C12:M12" si="2">IFERROR(C11/C8,"")</f>
        <v>0</v>
      </c>
      <c r="D12" s="59">
        <f t="shared" si="2"/>
        <v>0</v>
      </c>
      <c r="E12" s="59">
        <f t="shared" si="2"/>
        <v>4.878048780487805E-2</v>
      </c>
      <c r="F12" s="59">
        <f t="shared" si="2"/>
        <v>1.8181818181818181E-2</v>
      </c>
      <c r="G12" s="59">
        <f t="shared" si="2"/>
        <v>0.16666666666666666</v>
      </c>
      <c r="H12" s="59" t="str">
        <f t="shared" si="2"/>
        <v/>
      </c>
      <c r="I12" s="59" t="str">
        <f t="shared" si="2"/>
        <v/>
      </c>
      <c r="J12" s="59" t="str">
        <f t="shared" si="2"/>
        <v/>
      </c>
      <c r="K12" s="59" t="str">
        <f t="shared" si="2"/>
        <v/>
      </c>
      <c r="L12" s="72" t="str">
        <f t="shared" si="2"/>
        <v/>
      </c>
      <c r="M12" s="72" t="str">
        <f t="shared" si="2"/>
        <v/>
      </c>
      <c r="N12" s="97">
        <f t="shared" si="0"/>
        <v>4.5267276032944448E-2</v>
      </c>
      <c r="P12" s="97">
        <f>P11/P8</f>
        <v>4.8979591836734691E-2</v>
      </c>
    </row>
    <row r="13" spans="1:16" ht="15" customHeight="1" x14ac:dyDescent="0.25">
      <c r="A13" s="113" t="s">
        <v>61</v>
      </c>
      <c r="B13" s="67">
        <f t="shared" ref="B13:M13" si="3">IFERROR(B10/B11,0)</f>
        <v>88</v>
      </c>
      <c r="C13" s="67">
        <f t="shared" si="3"/>
        <v>0</v>
      </c>
      <c r="D13" s="67">
        <f t="shared" si="3"/>
        <v>0</v>
      </c>
      <c r="E13" s="67">
        <f t="shared" si="3"/>
        <v>62.5</v>
      </c>
      <c r="F13" s="67">
        <f t="shared" si="3"/>
        <v>141.54</v>
      </c>
      <c r="G13" s="67">
        <f t="shared" si="3"/>
        <v>20.088333333333335</v>
      </c>
      <c r="H13" s="67">
        <f t="shared" si="3"/>
        <v>0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7">
        <f t="shared" si="3"/>
        <v>0</v>
      </c>
      <c r="M13" s="67">
        <f t="shared" si="3"/>
        <v>0</v>
      </c>
      <c r="N13" s="98">
        <f t="shared" si="0"/>
        <v>26.010694444444439</v>
      </c>
      <c r="P13" s="98">
        <f t="shared" si="0"/>
        <v>22.739911616161613</v>
      </c>
    </row>
    <row r="14" spans="1:16" x14ac:dyDescent="0.25">
      <c r="A14" s="113" t="s">
        <v>62</v>
      </c>
      <c r="B14" s="68">
        <f>IFERROR(B10/B8,"")</f>
        <v>3.3417721518987342</v>
      </c>
      <c r="C14" s="68">
        <f t="shared" ref="C14:M14" si="4">IFERROR(C10/C8,"")</f>
        <v>3.1578947368421053</v>
      </c>
      <c r="D14" s="68">
        <f t="shared" si="4"/>
        <v>2.7753333333333337</v>
      </c>
      <c r="E14" s="68">
        <f t="shared" si="4"/>
        <v>3.0487804878048781</v>
      </c>
      <c r="F14" s="68">
        <f t="shared" si="4"/>
        <v>2.5734545454545454</v>
      </c>
      <c r="G14" s="68">
        <f t="shared" si="4"/>
        <v>3.3480555555555558</v>
      </c>
      <c r="H14" s="68" t="str">
        <f t="shared" si="4"/>
        <v/>
      </c>
      <c r="I14" s="68" t="str">
        <f t="shared" si="4"/>
        <v/>
      </c>
      <c r="J14" s="68" t="str">
        <f t="shared" si="4"/>
        <v/>
      </c>
      <c r="K14" s="68" t="str">
        <f t="shared" si="4"/>
        <v/>
      </c>
      <c r="L14" s="75" t="str">
        <f t="shared" si="4"/>
        <v/>
      </c>
      <c r="M14" s="75" t="str">
        <f t="shared" si="4"/>
        <v/>
      </c>
      <c r="N14" s="98">
        <f t="shared" si="0"/>
        <v>3.0408818018148587</v>
      </c>
      <c r="P14" s="98">
        <f t="shared" si="0"/>
        <v>2.9573011447926345</v>
      </c>
    </row>
    <row r="15" spans="1:16" x14ac:dyDescent="0.25">
      <c r="A15" s="113"/>
      <c r="B15" s="116"/>
      <c r="C15" s="116"/>
      <c r="D15" s="116"/>
      <c r="E15" s="118"/>
      <c r="F15" s="116"/>
      <c r="G15" s="116"/>
      <c r="H15" s="118"/>
      <c r="I15" s="116"/>
      <c r="J15" s="119"/>
      <c r="K15" s="119"/>
      <c r="L15" s="118"/>
      <c r="M15" s="118"/>
      <c r="N15" s="115"/>
      <c r="P15" s="98"/>
    </row>
    <row r="16" spans="1:16" ht="15.75" thickBot="1" x14ac:dyDescent="0.3">
      <c r="A16" s="77" t="s">
        <v>3</v>
      </c>
      <c r="B16" s="230">
        <f>(B11)*(200)</f>
        <v>600</v>
      </c>
      <c r="C16" s="230">
        <f t="shared" ref="C16:M16" si="5">(C11)*(200)</f>
        <v>0</v>
      </c>
      <c r="D16" s="230">
        <f t="shared" si="5"/>
        <v>0</v>
      </c>
      <c r="E16" s="230">
        <f t="shared" si="5"/>
        <v>400</v>
      </c>
      <c r="F16" s="230">
        <f t="shared" si="5"/>
        <v>200</v>
      </c>
      <c r="G16" s="230">
        <f t="shared" si="5"/>
        <v>1200</v>
      </c>
      <c r="H16" s="230">
        <f t="shared" si="5"/>
        <v>0</v>
      </c>
      <c r="I16" s="230">
        <f t="shared" si="5"/>
        <v>0</v>
      </c>
      <c r="J16" s="230">
        <f t="shared" si="5"/>
        <v>0</v>
      </c>
      <c r="K16" s="230">
        <f t="shared" si="5"/>
        <v>0</v>
      </c>
      <c r="L16" s="230">
        <f t="shared" si="5"/>
        <v>0</v>
      </c>
      <c r="M16" s="230">
        <f t="shared" si="5"/>
        <v>0</v>
      </c>
      <c r="N16" s="225">
        <f>SUM(B16:M16)</f>
        <v>2400</v>
      </c>
      <c r="P16" s="99"/>
    </row>
    <row r="17" spans="1:16" s="6" customFormat="1" ht="9" customHeight="1" thickBot="1" x14ac:dyDescent="0.3">
      <c r="A17" s="33"/>
      <c r="B17" s="34"/>
      <c r="C17" s="34"/>
      <c r="D17" s="34"/>
      <c r="E17" s="34"/>
      <c r="F17" s="38"/>
      <c r="G17" s="39"/>
      <c r="H17" s="39"/>
      <c r="I17" s="33"/>
      <c r="J17" s="40"/>
      <c r="K17" s="34"/>
    </row>
    <row r="18" spans="1:16" ht="25.5" customHeight="1" x14ac:dyDescent="0.25">
      <c r="A18" s="105"/>
      <c r="B18" s="265" t="s">
        <v>81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P18" s="162"/>
    </row>
    <row r="19" spans="1:16" ht="25.5" customHeight="1" x14ac:dyDescent="0.25">
      <c r="A19" s="106"/>
      <c r="B19" s="32" t="s">
        <v>32</v>
      </c>
      <c r="C19" s="32" t="s">
        <v>33</v>
      </c>
      <c r="D19" s="32" t="s">
        <v>34</v>
      </c>
      <c r="E19" s="32" t="s">
        <v>35</v>
      </c>
      <c r="F19" s="32" t="s">
        <v>36</v>
      </c>
      <c r="G19" s="32" t="s">
        <v>37</v>
      </c>
      <c r="H19" s="32" t="s">
        <v>38</v>
      </c>
      <c r="I19" s="32" t="s">
        <v>39</v>
      </c>
      <c r="J19" s="32" t="s">
        <v>40</v>
      </c>
      <c r="K19" s="32" t="s">
        <v>41</v>
      </c>
      <c r="L19" s="32" t="s">
        <v>42</v>
      </c>
      <c r="M19" s="32" t="s">
        <v>43</v>
      </c>
      <c r="N19" s="95" t="s">
        <v>49</v>
      </c>
      <c r="P19" s="95" t="s">
        <v>50</v>
      </c>
    </row>
    <row r="20" spans="1:16" x14ac:dyDescent="0.25">
      <c r="A20" s="113" t="s">
        <v>85</v>
      </c>
      <c r="B20" s="64">
        <v>11370</v>
      </c>
      <c r="C20" s="64">
        <v>1637</v>
      </c>
      <c r="D20" s="64">
        <v>1498</v>
      </c>
      <c r="E20" s="64">
        <v>3288</v>
      </c>
      <c r="F20" s="64">
        <v>1144</v>
      </c>
      <c r="G20" s="64">
        <v>700</v>
      </c>
      <c r="H20" s="64"/>
      <c r="I20" s="64"/>
      <c r="J20" s="64"/>
      <c r="K20" s="64"/>
      <c r="L20" s="70"/>
      <c r="M20" s="231"/>
      <c r="N20" s="100">
        <f>AVERAGE(B20:M20)</f>
        <v>3272.8333333333335</v>
      </c>
      <c r="P20" s="100">
        <f>SUM(B20:M20)</f>
        <v>19637</v>
      </c>
    </row>
    <row r="21" spans="1:16" x14ac:dyDescent="0.25">
      <c r="A21" s="113" t="s">
        <v>97</v>
      </c>
      <c r="B21" s="65">
        <v>73</v>
      </c>
      <c r="C21" s="65">
        <v>11</v>
      </c>
      <c r="D21" s="65">
        <v>12</v>
      </c>
      <c r="E21" s="65">
        <v>16</v>
      </c>
      <c r="F21" s="65">
        <v>11</v>
      </c>
      <c r="G21" s="65">
        <v>7</v>
      </c>
      <c r="H21" s="65"/>
      <c r="I21" s="65"/>
      <c r="J21" s="65"/>
      <c r="K21" s="65"/>
      <c r="L21" s="71"/>
      <c r="M21" s="71"/>
      <c r="N21" s="96">
        <f t="shared" ref="N21:N27" si="6">AVERAGE(B21:M21)</f>
        <v>21.666666666666668</v>
      </c>
      <c r="P21" s="96">
        <f>SUM(B21:M21)</f>
        <v>130</v>
      </c>
    </row>
    <row r="22" spans="1:16" x14ac:dyDescent="0.25">
      <c r="A22" s="113" t="s">
        <v>4</v>
      </c>
      <c r="B22" s="59">
        <f>IFERROR(B21/B20,"")</f>
        <v>6.4204045734388739E-3</v>
      </c>
      <c r="C22" s="59">
        <f t="shared" ref="C22:M22" si="7">IFERROR(C21/C20,"")</f>
        <v>6.7196090409285276E-3</v>
      </c>
      <c r="D22" s="59">
        <f t="shared" si="7"/>
        <v>8.0106809078771702E-3</v>
      </c>
      <c r="E22" s="59">
        <f t="shared" si="7"/>
        <v>4.8661800486618006E-3</v>
      </c>
      <c r="F22" s="59">
        <f t="shared" si="7"/>
        <v>9.6153846153846159E-3</v>
      </c>
      <c r="G22" s="59">
        <f t="shared" si="7"/>
        <v>0.01</v>
      </c>
      <c r="H22" s="59" t="str">
        <f t="shared" si="7"/>
        <v/>
      </c>
      <c r="I22" s="59" t="str">
        <f t="shared" si="7"/>
        <v/>
      </c>
      <c r="J22" s="59" t="str">
        <f t="shared" si="7"/>
        <v/>
      </c>
      <c r="K22" s="59" t="str">
        <f t="shared" si="7"/>
        <v/>
      </c>
      <c r="L22" s="72" t="str">
        <f t="shared" si="7"/>
        <v/>
      </c>
      <c r="M22" s="72" t="str">
        <f t="shared" si="7"/>
        <v/>
      </c>
      <c r="N22" s="97">
        <f t="shared" si="6"/>
        <v>7.6053765310484982E-3</v>
      </c>
      <c r="P22" s="97">
        <f>P21/P20</f>
        <v>6.6201558282833429E-3</v>
      </c>
    </row>
    <row r="23" spans="1:16" x14ac:dyDescent="0.25">
      <c r="A23" s="113" t="s">
        <v>58</v>
      </c>
      <c r="B23" s="66">
        <v>7</v>
      </c>
      <c r="C23" s="66">
        <v>1</v>
      </c>
      <c r="D23" s="66">
        <v>1.27</v>
      </c>
      <c r="E23" s="66">
        <v>1.65</v>
      </c>
      <c r="F23" s="66">
        <v>1.1200000000000001</v>
      </c>
      <c r="G23" s="66">
        <v>0.76</v>
      </c>
      <c r="H23" s="66"/>
      <c r="I23" s="66"/>
      <c r="J23" s="66"/>
      <c r="K23" s="66"/>
      <c r="L23" s="73"/>
      <c r="M23" s="232"/>
      <c r="N23" s="98">
        <f t="shared" si="6"/>
        <v>2.1333333333333333</v>
      </c>
      <c r="P23" s="98">
        <f>SUM(B23:M23)</f>
        <v>12.799999999999999</v>
      </c>
    </row>
    <row r="24" spans="1:16" x14ac:dyDescent="0.25">
      <c r="A24" s="113" t="s">
        <v>59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71">
        <v>0</v>
      </c>
      <c r="M24" s="71">
        <v>0</v>
      </c>
      <c r="N24" s="96">
        <f t="shared" si="6"/>
        <v>0</v>
      </c>
      <c r="P24" s="96">
        <f>SUM(B24:M24)</f>
        <v>0</v>
      </c>
    </row>
    <row r="25" spans="1:16" x14ac:dyDescent="0.25">
      <c r="A25" s="113" t="s">
        <v>60</v>
      </c>
      <c r="B25" s="59">
        <f>IFERROR(B24/B21,"")</f>
        <v>0</v>
      </c>
      <c r="C25" s="59">
        <f t="shared" ref="C25:L25" si="8">IFERROR(C24/C21,"")</f>
        <v>0</v>
      </c>
      <c r="D25" s="59">
        <f t="shared" si="8"/>
        <v>0</v>
      </c>
      <c r="E25" s="59">
        <f t="shared" si="8"/>
        <v>0</v>
      </c>
      <c r="F25" s="59">
        <f t="shared" si="8"/>
        <v>0</v>
      </c>
      <c r="G25" s="59">
        <f t="shared" si="8"/>
        <v>0</v>
      </c>
      <c r="H25" s="59" t="str">
        <f t="shared" si="8"/>
        <v/>
      </c>
      <c r="I25" s="59" t="str">
        <f t="shared" si="8"/>
        <v/>
      </c>
      <c r="J25" s="59" t="str">
        <f t="shared" si="8"/>
        <v/>
      </c>
      <c r="K25" s="59" t="str">
        <f t="shared" si="8"/>
        <v/>
      </c>
      <c r="L25" s="72" t="str">
        <f t="shared" si="8"/>
        <v/>
      </c>
      <c r="M25" s="72" t="str">
        <f>IFERROR(M24/M21,"")</f>
        <v/>
      </c>
      <c r="N25" s="97">
        <f t="shared" si="6"/>
        <v>0</v>
      </c>
      <c r="P25" s="97">
        <f>P24/P21</f>
        <v>0</v>
      </c>
    </row>
    <row r="26" spans="1:16" x14ac:dyDescent="0.25">
      <c r="A26" s="113" t="s">
        <v>82</v>
      </c>
      <c r="B26" s="67">
        <f t="shared" ref="B26:M26" si="9">IFERROR(B23/B24,0)</f>
        <v>0</v>
      </c>
      <c r="C26" s="67">
        <f t="shared" si="9"/>
        <v>0</v>
      </c>
      <c r="D26" s="67">
        <f t="shared" si="9"/>
        <v>0</v>
      </c>
      <c r="E26" s="67">
        <f t="shared" si="9"/>
        <v>0</v>
      </c>
      <c r="F26" s="67">
        <f t="shared" si="9"/>
        <v>0</v>
      </c>
      <c r="G26" s="67">
        <f t="shared" si="9"/>
        <v>0</v>
      </c>
      <c r="H26" s="67">
        <f t="shared" si="9"/>
        <v>0</v>
      </c>
      <c r="I26" s="67">
        <f t="shared" si="9"/>
        <v>0</v>
      </c>
      <c r="J26" s="67">
        <f t="shared" si="9"/>
        <v>0</v>
      </c>
      <c r="K26" s="67">
        <f t="shared" si="9"/>
        <v>0</v>
      </c>
      <c r="L26" s="67">
        <f t="shared" si="9"/>
        <v>0</v>
      </c>
      <c r="M26" s="67">
        <f t="shared" si="9"/>
        <v>0</v>
      </c>
      <c r="N26" s="98">
        <f t="shared" si="6"/>
        <v>0</v>
      </c>
      <c r="P26" s="98">
        <f t="shared" ref="P26:P27" si="10">AVERAGE(D26:O26)</f>
        <v>0</v>
      </c>
    </row>
    <row r="27" spans="1:16" x14ac:dyDescent="0.25">
      <c r="A27" s="113" t="s">
        <v>62</v>
      </c>
      <c r="B27" s="68">
        <f>IFERROR(B23/B21,"")</f>
        <v>9.5890410958904104E-2</v>
      </c>
      <c r="C27" s="68">
        <f t="shared" ref="C27:M27" si="11">IFERROR(C23/C21,"")</f>
        <v>9.0909090909090912E-2</v>
      </c>
      <c r="D27" s="68">
        <f t="shared" si="11"/>
        <v>0.10583333333333333</v>
      </c>
      <c r="E27" s="68">
        <f t="shared" si="11"/>
        <v>0.10312499999999999</v>
      </c>
      <c r="F27" s="68">
        <f t="shared" si="11"/>
        <v>0.10181818181818182</v>
      </c>
      <c r="G27" s="68">
        <f t="shared" si="11"/>
        <v>0.10857142857142857</v>
      </c>
      <c r="H27" s="68" t="str">
        <f t="shared" si="11"/>
        <v/>
      </c>
      <c r="I27" s="68" t="str">
        <f t="shared" si="11"/>
        <v/>
      </c>
      <c r="J27" s="68" t="str">
        <f t="shared" si="11"/>
        <v/>
      </c>
      <c r="K27" s="68" t="str">
        <f t="shared" si="11"/>
        <v/>
      </c>
      <c r="L27" s="75" t="str">
        <f t="shared" si="11"/>
        <v/>
      </c>
      <c r="M27" s="75" t="str">
        <f t="shared" si="11"/>
        <v/>
      </c>
      <c r="N27" s="98">
        <f t="shared" si="6"/>
        <v>0.10102457426515644</v>
      </c>
      <c r="P27" s="98">
        <f t="shared" si="10"/>
        <v>0.10407450359762002</v>
      </c>
    </row>
    <row r="28" spans="1:16" x14ac:dyDescent="0.25">
      <c r="A28" s="113"/>
      <c r="B28" s="116"/>
      <c r="C28" s="116"/>
      <c r="D28" s="116"/>
      <c r="E28" s="118"/>
      <c r="F28" s="116"/>
      <c r="G28" s="116"/>
      <c r="H28" s="118"/>
      <c r="I28" s="116"/>
      <c r="J28" s="119"/>
      <c r="K28" s="119"/>
      <c r="L28" s="118"/>
      <c r="M28" s="118"/>
      <c r="N28" s="115"/>
      <c r="P28" s="98"/>
    </row>
    <row r="29" spans="1:16" ht="15.75" thickBot="1" x14ac:dyDescent="0.3">
      <c r="A29" s="77" t="s">
        <v>3</v>
      </c>
      <c r="B29" s="230">
        <f>(B24*0.1)*(300)</f>
        <v>0</v>
      </c>
      <c r="C29" s="230">
        <f t="shared" ref="C29:M29" si="12">(C24*0.1)*(300)</f>
        <v>0</v>
      </c>
      <c r="D29" s="230">
        <f t="shared" si="12"/>
        <v>0</v>
      </c>
      <c r="E29" s="230">
        <f t="shared" si="12"/>
        <v>0</v>
      </c>
      <c r="F29" s="230">
        <f t="shared" si="12"/>
        <v>0</v>
      </c>
      <c r="G29" s="230">
        <f t="shared" si="12"/>
        <v>0</v>
      </c>
      <c r="H29" s="230">
        <f t="shared" si="12"/>
        <v>0</v>
      </c>
      <c r="I29" s="230">
        <f t="shared" si="12"/>
        <v>0</v>
      </c>
      <c r="J29" s="230">
        <f t="shared" si="12"/>
        <v>0</v>
      </c>
      <c r="K29" s="230">
        <f t="shared" si="12"/>
        <v>0</v>
      </c>
      <c r="L29" s="230">
        <f t="shared" si="12"/>
        <v>0</v>
      </c>
      <c r="M29" s="230">
        <f t="shared" si="12"/>
        <v>0</v>
      </c>
      <c r="N29" s="225"/>
      <c r="P29" s="99"/>
    </row>
  </sheetData>
  <sheetProtection selectLockedCells="1"/>
  <mergeCells count="3">
    <mergeCell ref="B5:N5"/>
    <mergeCell ref="B18:N18"/>
    <mergeCell ref="A3:P3"/>
  </mergeCells>
  <phoneticPr fontId="7" type="noConversion"/>
  <conditionalFormatting sqref="B8:M8">
    <cfRule type="cellIs" dxfId="9" priority="9" operator="greaterThan">
      <formula>110</formula>
    </cfRule>
  </conditionalFormatting>
  <conditionalFormatting sqref="B21:M21">
    <cfRule type="cellIs" dxfId="8" priority="7" operator="greaterThan">
      <formula>110</formula>
    </cfRule>
  </conditionalFormatting>
  <pageMargins left="0.25" right="0.25" top="0.75" bottom="0.75" header="0.3" footer="0.3"/>
  <pageSetup scale="64" orientation="landscape" r:id="rId1"/>
  <customProperties>
    <customPr name="LastActive" r:id="rId2"/>
    <customPr name="ORB_SHEETNAME" r:id="rId3"/>
  </customPropertie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B889F22-69F4-414A-8D68-BA01758B788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B11:M11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workbookViewId="0">
      <selection activeCell="G17" sqref="G17"/>
    </sheetView>
  </sheetViews>
  <sheetFormatPr defaultColWidth="8.85546875" defaultRowHeight="15" x14ac:dyDescent="0.25"/>
  <cols>
    <col min="1" max="1" width="22.28515625" customWidth="1"/>
    <col min="2" max="9" width="12.7109375" customWidth="1"/>
    <col min="10" max="10" width="14.140625" customWidth="1"/>
    <col min="11" max="11" width="12.7109375" customWidth="1"/>
    <col min="12" max="12" width="13.28515625" customWidth="1"/>
    <col min="13" max="13" width="12.7109375" customWidth="1"/>
    <col min="14" max="14" width="13.140625" customWidth="1"/>
  </cols>
  <sheetData>
    <row r="1" spans="1:16" ht="23.25" x14ac:dyDescent="0.35">
      <c r="A1" s="267" t="s">
        <v>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6" s="6" customFormat="1" ht="9" customHeight="1" x14ac:dyDescent="0.25">
      <c r="A2" s="33"/>
      <c r="B2" s="34"/>
      <c r="C2" s="34"/>
      <c r="D2" s="34"/>
      <c r="E2" s="34"/>
      <c r="F2" s="34"/>
      <c r="G2" s="33"/>
      <c r="H2" s="33"/>
      <c r="I2" s="33"/>
      <c r="J2" s="33"/>
      <c r="K2" s="34"/>
    </row>
    <row r="3" spans="1:16" s="6" customFormat="1" ht="24.75" customHeight="1" thickBot="1" x14ac:dyDescent="0.3">
      <c r="A3" s="268" t="s">
        <v>52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P3" s="9"/>
    </row>
    <row r="4" spans="1:16" s="6" customFormat="1" x14ac:dyDescent="0.25">
      <c r="A4" s="107" t="s">
        <v>18</v>
      </c>
      <c r="B4" s="32" t="s">
        <v>32</v>
      </c>
      <c r="C4" s="32" t="s">
        <v>33</v>
      </c>
      <c r="D4" s="32" t="s">
        <v>34</v>
      </c>
      <c r="E4" s="32" t="s">
        <v>35</v>
      </c>
      <c r="F4" s="32" t="s">
        <v>36</v>
      </c>
      <c r="G4" s="32" t="s">
        <v>37</v>
      </c>
      <c r="H4" s="32" t="s">
        <v>38</v>
      </c>
      <c r="I4" s="32" t="s">
        <v>39</v>
      </c>
      <c r="J4" s="32" t="s">
        <v>40</v>
      </c>
      <c r="K4" s="32" t="s">
        <v>41</v>
      </c>
      <c r="L4" s="32" t="s">
        <v>42</v>
      </c>
      <c r="M4" s="32" t="s">
        <v>43</v>
      </c>
      <c r="N4" s="95" t="s">
        <v>49</v>
      </c>
    </row>
    <row r="5" spans="1:16" ht="15" customHeight="1" x14ac:dyDescent="0.25">
      <c r="A5" s="113" t="s">
        <v>11</v>
      </c>
      <c r="B5" s="64">
        <v>236</v>
      </c>
      <c r="C5" s="64">
        <v>12348</v>
      </c>
      <c r="D5" s="64">
        <v>9179</v>
      </c>
      <c r="E5" s="64">
        <v>8404</v>
      </c>
      <c r="F5" s="64">
        <v>6290</v>
      </c>
      <c r="G5" s="64">
        <v>2949</v>
      </c>
      <c r="H5" s="64"/>
      <c r="I5" s="64">
        <v>0</v>
      </c>
      <c r="J5" s="64">
        <v>0</v>
      </c>
      <c r="K5" s="64"/>
      <c r="L5" s="70"/>
      <c r="M5" s="280"/>
      <c r="N5" s="100">
        <f>SUM(B5:M5)/12</f>
        <v>3283.8333333333335</v>
      </c>
    </row>
    <row r="6" spans="1:16" ht="15" customHeight="1" x14ac:dyDescent="0.25">
      <c r="A6" s="113" t="s">
        <v>57</v>
      </c>
      <c r="B6" s="65">
        <v>8</v>
      </c>
      <c r="C6" s="65">
        <v>165</v>
      </c>
      <c r="D6" s="65">
        <v>286</v>
      </c>
      <c r="E6" s="65">
        <v>217</v>
      </c>
      <c r="F6" s="65">
        <v>151</v>
      </c>
      <c r="G6" s="65">
        <v>49</v>
      </c>
      <c r="H6" s="65"/>
      <c r="I6" s="65"/>
      <c r="J6" s="65"/>
      <c r="K6" s="65"/>
      <c r="L6" s="71"/>
      <c r="M6" s="71"/>
      <c r="N6" s="96">
        <f>AVERAGE(B6:M6)</f>
        <v>146</v>
      </c>
    </row>
    <row r="7" spans="1:16" ht="15" customHeight="1" x14ac:dyDescent="0.25">
      <c r="A7" s="113" t="s">
        <v>4</v>
      </c>
      <c r="B7" s="59">
        <f>IFERROR(B6/B5,"")</f>
        <v>3.3898305084745763E-2</v>
      </c>
      <c r="C7" s="59">
        <f t="shared" ref="C7:L7" si="0">IFERROR(C6/C5,"")</f>
        <v>1.3362487852283771E-2</v>
      </c>
      <c r="D7" s="59">
        <f t="shared" si="0"/>
        <v>3.1158078222028544E-2</v>
      </c>
      <c r="E7" s="59">
        <f t="shared" si="0"/>
        <v>2.5821037601142315E-2</v>
      </c>
      <c r="F7" s="59">
        <f t="shared" si="0"/>
        <v>2.4006359300476947E-2</v>
      </c>
      <c r="G7" s="59">
        <f t="shared" si="0"/>
        <v>1.6615801966768397E-2</v>
      </c>
      <c r="H7" s="59" t="str">
        <f t="shared" si="0"/>
        <v/>
      </c>
      <c r="I7" s="59" t="str">
        <f t="shared" si="0"/>
        <v/>
      </c>
      <c r="J7" s="59" t="str">
        <f t="shared" si="0"/>
        <v/>
      </c>
      <c r="K7" s="59" t="str">
        <f t="shared" si="0"/>
        <v/>
      </c>
      <c r="L7" s="72" t="str">
        <f t="shared" si="0"/>
        <v/>
      </c>
      <c r="M7" s="281"/>
      <c r="N7" s="97">
        <f>AVERAGE(B7:M7)</f>
        <v>2.4143678337907624E-2</v>
      </c>
    </row>
    <row r="8" spans="1:16" ht="15" customHeight="1" x14ac:dyDescent="0.25">
      <c r="A8" s="113" t="s">
        <v>63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72"/>
      <c r="M8" s="281"/>
      <c r="N8" s="97"/>
    </row>
    <row r="9" spans="1:16" ht="15" customHeight="1" x14ac:dyDescent="0.25">
      <c r="A9" s="113" t="s">
        <v>58</v>
      </c>
      <c r="B9" s="66">
        <v>5.77</v>
      </c>
      <c r="C9" s="66">
        <v>200</v>
      </c>
      <c r="D9" s="66">
        <v>120</v>
      </c>
      <c r="E9" s="66">
        <v>106.78</v>
      </c>
      <c r="F9" s="66">
        <v>85.2</v>
      </c>
      <c r="G9" s="66">
        <v>47.91</v>
      </c>
      <c r="H9" s="66"/>
      <c r="I9" s="66"/>
      <c r="J9" s="66"/>
      <c r="K9" s="66"/>
      <c r="L9" s="73"/>
      <c r="M9" s="71"/>
      <c r="N9" s="98">
        <f>AVERAGE(B9:M9)</f>
        <v>94.276666666666657</v>
      </c>
    </row>
    <row r="10" spans="1:16" ht="15" customHeight="1" x14ac:dyDescent="0.25">
      <c r="A10" s="113" t="s">
        <v>56</v>
      </c>
      <c r="B10" s="65">
        <v>0</v>
      </c>
      <c r="C10" s="65">
        <v>1</v>
      </c>
      <c r="D10" s="65">
        <v>113</v>
      </c>
      <c r="E10" s="65">
        <v>90</v>
      </c>
      <c r="F10" s="65">
        <v>54</v>
      </c>
      <c r="G10" s="65">
        <v>17</v>
      </c>
      <c r="H10" s="65"/>
      <c r="I10" s="65"/>
      <c r="J10" s="65"/>
      <c r="K10" s="65"/>
      <c r="L10" s="71"/>
      <c r="M10" s="71">
        <v>1</v>
      </c>
      <c r="N10" s="96"/>
    </row>
    <row r="11" spans="1:16" ht="15" customHeight="1" x14ac:dyDescent="0.25">
      <c r="A11" s="113" t="s">
        <v>78</v>
      </c>
      <c r="B11" s="59">
        <f>IFERROR(B10/B6,"")</f>
        <v>0</v>
      </c>
      <c r="C11" s="59">
        <f t="shared" ref="C11:L11" si="1">IFERROR(C10/C6,"")</f>
        <v>6.0606060606060606E-3</v>
      </c>
      <c r="D11" s="59">
        <f t="shared" si="1"/>
        <v>0.3951048951048951</v>
      </c>
      <c r="E11" s="59">
        <f t="shared" si="1"/>
        <v>0.41474654377880182</v>
      </c>
      <c r="F11" s="59">
        <f t="shared" si="1"/>
        <v>0.35761589403973509</v>
      </c>
      <c r="G11" s="59">
        <f t="shared" si="1"/>
        <v>0.34693877551020408</v>
      </c>
      <c r="H11" s="59" t="str">
        <f t="shared" si="1"/>
        <v/>
      </c>
      <c r="I11" s="59" t="str">
        <f t="shared" si="1"/>
        <v/>
      </c>
      <c r="J11" s="59" t="str">
        <f t="shared" si="1"/>
        <v/>
      </c>
      <c r="K11" s="59" t="str">
        <f t="shared" si="1"/>
        <v/>
      </c>
      <c r="L11" s="72" t="str">
        <f t="shared" si="1"/>
        <v/>
      </c>
      <c r="M11" s="281"/>
      <c r="N11" s="97">
        <f>AVERAGE(B11:M11)</f>
        <v>0.25341111908237368</v>
      </c>
    </row>
    <row r="12" spans="1:16" ht="15" customHeight="1" x14ac:dyDescent="0.25">
      <c r="A12" s="113" t="s">
        <v>102</v>
      </c>
      <c r="B12" s="67">
        <v>0</v>
      </c>
      <c r="C12" s="67">
        <f>IFERROR(C9/C10,"")</f>
        <v>200</v>
      </c>
      <c r="D12" s="67">
        <f t="shared" ref="D12:L12" si="2">IFERROR(D9/D10,"")</f>
        <v>1.0619469026548674</v>
      </c>
      <c r="E12" s="67">
        <f t="shared" si="2"/>
        <v>1.1864444444444444</v>
      </c>
      <c r="F12" s="67">
        <f t="shared" si="2"/>
        <v>1.5777777777777777</v>
      </c>
      <c r="G12" s="67">
        <f t="shared" si="2"/>
        <v>2.8182352941176467</v>
      </c>
      <c r="H12" s="67" t="str">
        <f t="shared" si="2"/>
        <v/>
      </c>
      <c r="I12" s="67" t="str">
        <f t="shared" si="2"/>
        <v/>
      </c>
      <c r="J12" s="67" t="str">
        <f t="shared" si="2"/>
        <v/>
      </c>
      <c r="K12" s="67" t="str">
        <f t="shared" si="2"/>
        <v/>
      </c>
      <c r="L12" s="277" t="str">
        <f t="shared" si="2"/>
        <v/>
      </c>
      <c r="M12" s="281"/>
      <c r="N12" s="98">
        <f>AVERAGE(B12:M12)</f>
        <v>34.440734069832459</v>
      </c>
    </row>
    <row r="13" spans="1:16" x14ac:dyDescent="0.25">
      <c r="A13" s="113" t="s">
        <v>101</v>
      </c>
      <c r="B13" s="68">
        <f>IFERROR(B9/B6,"")</f>
        <v>0.72124999999999995</v>
      </c>
      <c r="C13" s="68">
        <f>IFERROR(C9/C6,"")</f>
        <v>1.2121212121212122</v>
      </c>
      <c r="D13" s="68">
        <f t="shared" ref="C13:L13" si="3">IFERROR(D9/D6,"")</f>
        <v>0.41958041958041958</v>
      </c>
      <c r="E13" s="68">
        <f t="shared" si="3"/>
        <v>0.49207373271889404</v>
      </c>
      <c r="F13" s="68">
        <f t="shared" si="3"/>
        <v>0.56423841059602653</v>
      </c>
      <c r="G13" s="68">
        <f t="shared" si="3"/>
        <v>0.97775510204081628</v>
      </c>
      <c r="H13" s="68" t="str">
        <f t="shared" si="3"/>
        <v/>
      </c>
      <c r="I13" s="68" t="str">
        <f t="shared" si="3"/>
        <v/>
      </c>
      <c r="J13" s="68" t="str">
        <f t="shared" si="3"/>
        <v/>
      </c>
      <c r="K13" s="68" t="str">
        <f t="shared" si="3"/>
        <v/>
      </c>
      <c r="L13" s="75" t="str">
        <f t="shared" si="3"/>
        <v/>
      </c>
      <c r="M13" s="75"/>
      <c r="N13" s="98">
        <f>AVERAGE(B13:M13)</f>
        <v>0.73116981284289473</v>
      </c>
    </row>
    <row r="14" spans="1:16" x14ac:dyDescent="0.25">
      <c r="A14" s="113" t="s">
        <v>67</v>
      </c>
      <c r="B14" s="275">
        <v>0</v>
      </c>
      <c r="C14" s="66">
        <v>0</v>
      </c>
      <c r="D14" s="66">
        <v>0</v>
      </c>
      <c r="E14" s="73">
        <v>0</v>
      </c>
      <c r="F14" s="66">
        <v>0</v>
      </c>
      <c r="G14" s="66">
        <v>0</v>
      </c>
      <c r="H14" s="73"/>
      <c r="I14" s="66"/>
      <c r="J14" s="276"/>
      <c r="K14" s="66"/>
      <c r="L14" s="73"/>
      <c r="M14" s="73"/>
      <c r="N14" s="102"/>
    </row>
    <row r="15" spans="1:16" x14ac:dyDescent="0.25">
      <c r="A15" s="10" t="s">
        <v>68</v>
      </c>
      <c r="B15" s="275">
        <v>8</v>
      </c>
      <c r="C15" s="275">
        <v>167</v>
      </c>
      <c r="D15" s="275">
        <v>173</v>
      </c>
      <c r="E15" s="278">
        <v>127</v>
      </c>
      <c r="F15" s="275">
        <v>97</v>
      </c>
      <c r="G15" s="275">
        <v>32</v>
      </c>
      <c r="H15" s="278"/>
      <c r="I15" s="275"/>
      <c r="J15" s="279"/>
      <c r="K15" s="275"/>
      <c r="L15" s="278"/>
      <c r="M15" s="278"/>
      <c r="N15" s="101"/>
    </row>
    <row r="16" spans="1:16" ht="15.75" thickBot="1" x14ac:dyDescent="0.3">
      <c r="A16" s="77" t="s">
        <v>3</v>
      </c>
      <c r="B16" s="76">
        <f>B10*0.03*200</f>
        <v>0</v>
      </c>
      <c r="C16" s="76">
        <f>C10*0.03*200</f>
        <v>6</v>
      </c>
      <c r="D16" s="76">
        <f>D10*0.03*200</f>
        <v>677.99999999999989</v>
      </c>
      <c r="E16" s="76">
        <f t="shared" ref="C16:M16" si="4">E10*0.03*200</f>
        <v>540</v>
      </c>
      <c r="F16" s="76">
        <f t="shared" si="4"/>
        <v>324</v>
      </c>
      <c r="G16" s="76">
        <f>G10*0.03*200</f>
        <v>102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6</v>
      </c>
      <c r="N16" s="223">
        <f>SUM(B16:M16)</f>
        <v>1656</v>
      </c>
    </row>
    <row r="17" spans="1:14" x14ac:dyDescent="0.25">
      <c r="A17" s="24"/>
      <c r="B17" s="24"/>
      <c r="C17" s="10"/>
      <c r="D17" s="10"/>
      <c r="E17" s="10"/>
      <c r="F17" s="10"/>
      <c r="G17" s="24"/>
      <c r="H17" s="24"/>
      <c r="I17" s="24"/>
      <c r="J17" s="24"/>
      <c r="K17" s="10"/>
    </row>
    <row r="18" spans="1:14" ht="24" customHeight="1" thickBot="1" x14ac:dyDescent="0.3">
      <c r="A18" s="268" t="s">
        <v>51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x14ac:dyDescent="0.25">
      <c r="A19" s="107" t="s">
        <v>45</v>
      </c>
      <c r="B19" s="32" t="s">
        <v>32</v>
      </c>
      <c r="C19" s="32" t="s">
        <v>33</v>
      </c>
      <c r="D19" s="32" t="s">
        <v>34</v>
      </c>
      <c r="E19" s="32" t="s">
        <v>35</v>
      </c>
      <c r="F19" s="32" t="s">
        <v>36</v>
      </c>
      <c r="G19" s="32" t="s">
        <v>37</v>
      </c>
      <c r="H19" s="32" t="s">
        <v>38</v>
      </c>
      <c r="I19" s="32" t="s">
        <v>39</v>
      </c>
      <c r="J19" s="32" t="s">
        <v>40</v>
      </c>
      <c r="K19" s="32" t="s">
        <v>41</v>
      </c>
      <c r="L19" s="32" t="s">
        <v>42</v>
      </c>
      <c r="M19" s="32" t="s">
        <v>43</v>
      </c>
      <c r="N19" s="95" t="s">
        <v>49</v>
      </c>
    </row>
    <row r="20" spans="1:14" x14ac:dyDescent="0.25">
      <c r="A20" s="113" t="s">
        <v>11</v>
      </c>
      <c r="B20" s="64">
        <v>0</v>
      </c>
      <c r="C20" s="64"/>
      <c r="D20" s="64"/>
      <c r="E20" s="64"/>
      <c r="F20" s="64"/>
      <c r="G20" s="64"/>
      <c r="H20" s="64"/>
      <c r="I20" s="64"/>
      <c r="J20" s="64"/>
      <c r="K20" s="64"/>
      <c r="L20" s="70"/>
      <c r="M20" s="60"/>
      <c r="N20" s="100">
        <f>IFERROR(AVERAGE(B20:M20),"")</f>
        <v>0</v>
      </c>
    </row>
    <row r="21" spans="1:14" x14ac:dyDescent="0.25">
      <c r="A21" s="113" t="s">
        <v>57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71"/>
      <c r="M21" s="61"/>
      <c r="N21" s="96" t="str">
        <f>IFERROR(AVERAGE(B21:M21),"")</f>
        <v/>
      </c>
    </row>
    <row r="22" spans="1:14" x14ac:dyDescent="0.25">
      <c r="A22" s="113" t="s">
        <v>4</v>
      </c>
      <c r="B22" s="59"/>
      <c r="C22" s="59" t="str">
        <f t="shared" ref="C22:L22" si="5">IFERROR(C21/C20,"")</f>
        <v/>
      </c>
      <c r="D22" s="59" t="str">
        <f t="shared" si="5"/>
        <v/>
      </c>
      <c r="E22" s="59" t="str">
        <f t="shared" si="5"/>
        <v/>
      </c>
      <c r="F22" s="59" t="str">
        <f t="shared" si="5"/>
        <v/>
      </c>
      <c r="G22" s="59" t="str">
        <f t="shared" si="5"/>
        <v/>
      </c>
      <c r="H22" s="59" t="str">
        <f t="shared" si="5"/>
        <v/>
      </c>
      <c r="I22" s="59" t="str">
        <f t="shared" si="5"/>
        <v/>
      </c>
      <c r="J22" s="59" t="str">
        <f t="shared" si="5"/>
        <v/>
      </c>
      <c r="K22" s="59" t="str">
        <f t="shared" si="5"/>
        <v/>
      </c>
      <c r="L22" s="72" t="str">
        <f t="shared" si="5"/>
        <v/>
      </c>
      <c r="M22" s="61"/>
      <c r="N22" s="97" t="str">
        <f>IFERROR(AVERAGE(B22:M22),"")</f>
        <v/>
      </c>
    </row>
    <row r="23" spans="1:14" x14ac:dyDescent="0.25">
      <c r="A23" s="113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72"/>
      <c r="M23" s="61"/>
      <c r="N23" s="97"/>
    </row>
    <row r="24" spans="1:14" x14ac:dyDescent="0.25">
      <c r="A24" s="113" t="s">
        <v>58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73"/>
      <c r="M24" s="282"/>
      <c r="N24" s="283" t="str">
        <f t="shared" ref="N24:N26" si="6">IFERROR(AVERAGE(B24:M24),"")</f>
        <v/>
      </c>
    </row>
    <row r="25" spans="1:14" x14ac:dyDescent="0.25">
      <c r="A25" s="113" t="s">
        <v>56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71"/>
      <c r="M25" s="282"/>
      <c r="N25" s="96" t="str">
        <f t="shared" si="6"/>
        <v/>
      </c>
    </row>
    <row r="26" spans="1:14" x14ac:dyDescent="0.25">
      <c r="A26" s="113" t="s">
        <v>64</v>
      </c>
      <c r="B26" s="59" t="str">
        <f>IFERROR(B25/B21,"")</f>
        <v/>
      </c>
      <c r="C26" s="59" t="str">
        <f t="shared" ref="C26:L26" si="7">IFERROR(C25/C21,"")</f>
        <v/>
      </c>
      <c r="D26" s="59" t="str">
        <f t="shared" si="7"/>
        <v/>
      </c>
      <c r="E26" s="59" t="str">
        <f t="shared" si="7"/>
        <v/>
      </c>
      <c r="F26" s="59" t="str">
        <f t="shared" si="7"/>
        <v/>
      </c>
      <c r="G26" s="59" t="str">
        <f t="shared" si="7"/>
        <v/>
      </c>
      <c r="H26" s="59" t="str">
        <f t="shared" si="7"/>
        <v/>
      </c>
      <c r="I26" s="59" t="str">
        <f t="shared" si="7"/>
        <v/>
      </c>
      <c r="J26" s="59" t="str">
        <f t="shared" si="7"/>
        <v/>
      </c>
      <c r="K26" s="59" t="str">
        <f t="shared" si="7"/>
        <v/>
      </c>
      <c r="L26" s="72" t="str">
        <f t="shared" si="7"/>
        <v/>
      </c>
      <c r="M26" s="61"/>
      <c r="N26" s="97" t="str">
        <f t="shared" si="6"/>
        <v/>
      </c>
    </row>
    <row r="27" spans="1:14" x14ac:dyDescent="0.25">
      <c r="A27" s="113" t="s">
        <v>65</v>
      </c>
      <c r="B27" s="127"/>
      <c r="C27" s="69" t="str">
        <f>IFERROR(C24/C25,"")</f>
        <v/>
      </c>
      <c r="D27" s="69" t="str">
        <f t="shared" ref="D27:L27" si="8">IFERROR(D24/D25,"")</f>
        <v/>
      </c>
      <c r="E27" s="69" t="str">
        <f t="shared" si="8"/>
        <v/>
      </c>
      <c r="F27" s="69" t="str">
        <f t="shared" si="8"/>
        <v/>
      </c>
      <c r="G27" s="69" t="str">
        <f t="shared" si="8"/>
        <v/>
      </c>
      <c r="H27" s="69" t="str">
        <f t="shared" si="8"/>
        <v/>
      </c>
      <c r="I27" s="69" t="str">
        <f t="shared" si="8"/>
        <v/>
      </c>
      <c r="J27" s="69" t="str">
        <f t="shared" si="8"/>
        <v/>
      </c>
      <c r="K27" s="69" t="str">
        <f t="shared" si="8"/>
        <v/>
      </c>
      <c r="L27" s="74" t="str">
        <f t="shared" si="8"/>
        <v/>
      </c>
      <c r="M27" s="61"/>
      <c r="N27" s="97"/>
    </row>
    <row r="28" spans="1:14" x14ac:dyDescent="0.25">
      <c r="A28" s="113" t="s">
        <v>66</v>
      </c>
      <c r="B28" s="117" t="str">
        <f>IFERROR(B24/B21,"")</f>
        <v/>
      </c>
      <c r="C28" s="68" t="str">
        <f t="shared" ref="C28:L28" si="9">IFERROR(C24/C21,"")</f>
        <v/>
      </c>
      <c r="D28" s="68" t="str">
        <f t="shared" si="9"/>
        <v/>
      </c>
      <c r="E28" s="68" t="str">
        <f t="shared" si="9"/>
        <v/>
      </c>
      <c r="F28" s="68" t="str">
        <f t="shared" si="9"/>
        <v/>
      </c>
      <c r="G28" s="68" t="str">
        <f t="shared" si="9"/>
        <v/>
      </c>
      <c r="H28" s="68" t="str">
        <f t="shared" si="9"/>
        <v/>
      </c>
      <c r="I28" s="68" t="str">
        <f t="shared" si="9"/>
        <v/>
      </c>
      <c r="J28" s="68" t="str">
        <f t="shared" si="9"/>
        <v/>
      </c>
      <c r="K28" s="68" t="str">
        <f t="shared" si="9"/>
        <v/>
      </c>
      <c r="L28" s="75" t="str">
        <f t="shared" si="9"/>
        <v/>
      </c>
      <c r="M28" s="63"/>
      <c r="N28" s="283" t="str">
        <f t="shared" ref="N28:N30" si="10">IFERROR(AVERAGE(B28:M28),"")</f>
        <v/>
      </c>
    </row>
    <row r="29" spans="1:14" x14ac:dyDescent="0.25">
      <c r="A29" s="113" t="s">
        <v>67</v>
      </c>
      <c r="B29" s="117"/>
      <c r="C29" s="68"/>
      <c r="D29" s="68"/>
      <c r="E29" s="75"/>
      <c r="F29" s="68"/>
      <c r="G29" s="68"/>
      <c r="H29" s="75"/>
      <c r="I29" s="68"/>
      <c r="J29" s="62"/>
      <c r="K29" s="68"/>
      <c r="L29" s="75"/>
      <c r="M29" s="63"/>
      <c r="N29" s="96" t="str">
        <f t="shared" si="10"/>
        <v/>
      </c>
    </row>
    <row r="30" spans="1:14" x14ac:dyDescent="0.25">
      <c r="A30" s="10" t="s">
        <v>68</v>
      </c>
      <c r="B30" s="117"/>
      <c r="C30" s="68"/>
      <c r="D30" s="68"/>
      <c r="E30" s="75"/>
      <c r="F30" s="68"/>
      <c r="G30" s="68"/>
      <c r="H30" s="75"/>
      <c r="I30" s="68"/>
      <c r="J30" s="62"/>
      <c r="K30" s="68"/>
      <c r="L30" s="75"/>
      <c r="M30" s="63"/>
      <c r="N30" s="97" t="str">
        <f t="shared" si="10"/>
        <v/>
      </c>
    </row>
    <row r="31" spans="1:14" ht="15.75" thickBot="1" x14ac:dyDescent="0.3">
      <c r="A31" s="77" t="s">
        <v>3</v>
      </c>
      <c r="B31" s="76">
        <f>B25*0.03*200</f>
        <v>0</v>
      </c>
      <c r="C31" s="76">
        <f t="shared" ref="C31:M31" si="11">C25*0.03*200</f>
        <v>0</v>
      </c>
      <c r="D31" s="76">
        <f t="shared" si="11"/>
        <v>0</v>
      </c>
      <c r="E31" s="76">
        <f t="shared" si="11"/>
        <v>0</v>
      </c>
      <c r="F31" s="76">
        <f t="shared" si="11"/>
        <v>0</v>
      </c>
      <c r="G31" s="76">
        <f t="shared" si="11"/>
        <v>0</v>
      </c>
      <c r="H31" s="76">
        <f t="shared" si="11"/>
        <v>0</v>
      </c>
      <c r="I31" s="76">
        <f t="shared" si="11"/>
        <v>0</v>
      </c>
      <c r="J31" s="76">
        <f t="shared" si="11"/>
        <v>0</v>
      </c>
      <c r="K31" s="76">
        <f t="shared" si="11"/>
        <v>0</v>
      </c>
      <c r="L31" s="76">
        <f t="shared" si="11"/>
        <v>0</v>
      </c>
      <c r="M31" s="76">
        <f t="shared" si="11"/>
        <v>0</v>
      </c>
      <c r="N31" s="223">
        <f>SUM(B31:M31)</f>
        <v>0</v>
      </c>
    </row>
    <row r="33" spans="1:14" x14ac:dyDescent="0.25">
      <c r="A33" s="139" t="s">
        <v>79</v>
      </c>
      <c r="B33" s="128" t="s">
        <v>32</v>
      </c>
      <c r="C33" s="128" t="s">
        <v>33</v>
      </c>
      <c r="D33" s="128" t="s">
        <v>34</v>
      </c>
      <c r="E33" s="128" t="s">
        <v>35</v>
      </c>
      <c r="F33" s="128" t="s">
        <v>36</v>
      </c>
      <c r="G33" s="128" t="s">
        <v>37</v>
      </c>
      <c r="H33" s="128" t="s">
        <v>38</v>
      </c>
      <c r="I33" s="128" t="s">
        <v>39</v>
      </c>
      <c r="J33" s="128" t="s">
        <v>40</v>
      </c>
      <c r="K33" s="128" t="s">
        <v>41</v>
      </c>
      <c r="L33" s="128" t="s">
        <v>42</v>
      </c>
      <c r="M33" s="128" t="s">
        <v>43</v>
      </c>
      <c r="N33" s="140" t="s">
        <v>49</v>
      </c>
    </row>
    <row r="34" spans="1:14" x14ac:dyDescent="0.25">
      <c r="A34" s="141" t="s">
        <v>11</v>
      </c>
      <c r="B34" s="129">
        <f>SUM(B5+B20)</f>
        <v>236</v>
      </c>
      <c r="C34" s="129">
        <f t="shared" ref="C34:M34" si="12">SUM(C5+C20)</f>
        <v>12348</v>
      </c>
      <c r="D34" s="129">
        <f t="shared" si="12"/>
        <v>9179</v>
      </c>
      <c r="E34" s="129">
        <f t="shared" si="12"/>
        <v>8404</v>
      </c>
      <c r="F34" s="129">
        <f t="shared" si="12"/>
        <v>6290</v>
      </c>
      <c r="G34" s="129">
        <f t="shared" si="12"/>
        <v>2949</v>
      </c>
      <c r="H34" s="129">
        <f t="shared" si="12"/>
        <v>0</v>
      </c>
      <c r="I34" s="129">
        <f t="shared" si="12"/>
        <v>0</v>
      </c>
      <c r="J34" s="129">
        <f t="shared" si="12"/>
        <v>0</v>
      </c>
      <c r="K34" s="129">
        <f t="shared" si="12"/>
        <v>0</v>
      </c>
      <c r="L34" s="129">
        <f t="shared" si="12"/>
        <v>0</v>
      </c>
      <c r="M34" s="129">
        <f t="shared" si="12"/>
        <v>0</v>
      </c>
      <c r="N34" s="130">
        <f>SUM(B34:M34)/12</f>
        <v>3283.8333333333335</v>
      </c>
    </row>
    <row r="35" spans="1:14" x14ac:dyDescent="0.25">
      <c r="A35" s="141" t="s">
        <v>57</v>
      </c>
      <c r="B35" s="131">
        <f>SUM(B6+B21)</f>
        <v>8</v>
      </c>
      <c r="C35" s="131">
        <f t="shared" ref="C35:M35" si="13">SUM(C6+C21)</f>
        <v>165</v>
      </c>
      <c r="D35" s="131">
        <f t="shared" si="13"/>
        <v>286</v>
      </c>
      <c r="E35" s="131">
        <f t="shared" si="13"/>
        <v>217</v>
      </c>
      <c r="F35" s="131">
        <f t="shared" si="13"/>
        <v>151</v>
      </c>
      <c r="G35" s="131">
        <f t="shared" si="13"/>
        <v>49</v>
      </c>
      <c r="H35" s="131">
        <f t="shared" si="13"/>
        <v>0</v>
      </c>
      <c r="I35" s="131">
        <f t="shared" si="13"/>
        <v>0</v>
      </c>
      <c r="J35" s="131">
        <f t="shared" si="13"/>
        <v>0</v>
      </c>
      <c r="K35" s="131">
        <f t="shared" si="13"/>
        <v>0</v>
      </c>
      <c r="L35" s="131">
        <f t="shared" si="13"/>
        <v>0</v>
      </c>
      <c r="M35" s="131">
        <f t="shared" si="13"/>
        <v>0</v>
      </c>
      <c r="N35" s="132">
        <f>AVERAGE(B35:M35)</f>
        <v>73</v>
      </c>
    </row>
    <row r="36" spans="1:14" x14ac:dyDescent="0.25">
      <c r="A36" s="141" t="s">
        <v>4</v>
      </c>
      <c r="B36" s="133">
        <f>SUM(B7,B22)</f>
        <v>3.3898305084745763E-2</v>
      </c>
      <c r="C36" s="133">
        <f t="shared" ref="C36:M36" si="14">SUM(C7,C22)</f>
        <v>1.3362487852283771E-2</v>
      </c>
      <c r="D36" s="133">
        <f t="shared" si="14"/>
        <v>3.1158078222028544E-2</v>
      </c>
      <c r="E36" s="133">
        <f t="shared" si="14"/>
        <v>2.5821037601142315E-2</v>
      </c>
      <c r="F36" s="133">
        <f t="shared" si="14"/>
        <v>2.4006359300476947E-2</v>
      </c>
      <c r="G36" s="133">
        <f t="shared" si="14"/>
        <v>1.6615801966768397E-2</v>
      </c>
      <c r="H36" s="133">
        <f t="shared" si="14"/>
        <v>0</v>
      </c>
      <c r="I36" s="133">
        <f t="shared" si="14"/>
        <v>0</v>
      </c>
      <c r="J36" s="133">
        <f t="shared" si="14"/>
        <v>0</v>
      </c>
      <c r="K36" s="133">
        <f t="shared" si="14"/>
        <v>0</v>
      </c>
      <c r="L36" s="133">
        <f t="shared" si="14"/>
        <v>0</v>
      </c>
      <c r="M36" s="133">
        <f t="shared" si="14"/>
        <v>0</v>
      </c>
      <c r="N36" s="134">
        <f>AVERAGE(B36:M36)</f>
        <v>1.2071839168953812E-2</v>
      </c>
    </row>
    <row r="37" spans="1:14" x14ac:dyDescent="0.25">
      <c r="A37" s="141" t="s">
        <v>63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</row>
    <row r="38" spans="1:14" x14ac:dyDescent="0.25">
      <c r="A38" s="141" t="s">
        <v>58</v>
      </c>
      <c r="B38" s="135">
        <f>SUM(B9+B24)</f>
        <v>5.77</v>
      </c>
      <c r="C38" s="135">
        <f>SUM(C9+C24)</f>
        <v>200</v>
      </c>
      <c r="D38" s="135">
        <f t="shared" ref="D38:M38" si="15">SUM(D9+D24)</f>
        <v>120</v>
      </c>
      <c r="E38" s="135">
        <f t="shared" si="15"/>
        <v>106.78</v>
      </c>
      <c r="F38" s="135">
        <f t="shared" si="15"/>
        <v>85.2</v>
      </c>
      <c r="G38" s="135">
        <f t="shared" si="15"/>
        <v>47.91</v>
      </c>
      <c r="H38" s="135">
        <f t="shared" si="15"/>
        <v>0</v>
      </c>
      <c r="I38" s="135">
        <f t="shared" si="15"/>
        <v>0</v>
      </c>
      <c r="J38" s="135">
        <f t="shared" si="15"/>
        <v>0</v>
      </c>
      <c r="K38" s="135">
        <f t="shared" si="15"/>
        <v>0</v>
      </c>
      <c r="L38" s="135">
        <f t="shared" si="15"/>
        <v>0</v>
      </c>
      <c r="M38" s="135">
        <f t="shared" si="15"/>
        <v>0</v>
      </c>
      <c r="N38" s="136">
        <f>AVERAGE(B38:M38)</f>
        <v>47.138333333333328</v>
      </c>
    </row>
    <row r="39" spans="1:14" x14ac:dyDescent="0.25">
      <c r="A39" s="141" t="s">
        <v>56</v>
      </c>
      <c r="B39" s="131">
        <f>SUM(B10+B25)</f>
        <v>0</v>
      </c>
      <c r="C39" s="131">
        <f t="shared" ref="C39:M39" si="16">SUM(C10+C25)</f>
        <v>1</v>
      </c>
      <c r="D39" s="131">
        <f t="shared" si="16"/>
        <v>113</v>
      </c>
      <c r="E39" s="131">
        <f t="shared" si="16"/>
        <v>90</v>
      </c>
      <c r="F39" s="131">
        <f t="shared" si="16"/>
        <v>54</v>
      </c>
      <c r="G39" s="131">
        <f t="shared" si="16"/>
        <v>17</v>
      </c>
      <c r="H39" s="131">
        <f t="shared" si="16"/>
        <v>0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1</v>
      </c>
      <c r="N39" s="132"/>
    </row>
    <row r="40" spans="1:14" x14ac:dyDescent="0.25">
      <c r="A40" s="141" t="s">
        <v>64</v>
      </c>
      <c r="B40" s="133" t="str">
        <f>IFERROR(SUM(B11+B26),"")</f>
        <v/>
      </c>
      <c r="C40" s="133" t="str">
        <f t="shared" ref="C40:M40" si="17">IFERROR(SUM(C11+C26),"")</f>
        <v/>
      </c>
      <c r="D40" s="133" t="str">
        <f t="shared" si="17"/>
        <v/>
      </c>
      <c r="E40" s="133" t="str">
        <f t="shared" si="17"/>
        <v/>
      </c>
      <c r="F40" s="133" t="str">
        <f t="shared" si="17"/>
        <v/>
      </c>
      <c r="G40" s="133" t="str">
        <f t="shared" si="17"/>
        <v/>
      </c>
      <c r="H40" s="133" t="str">
        <f t="shared" si="17"/>
        <v/>
      </c>
      <c r="I40" s="133" t="str">
        <f t="shared" si="17"/>
        <v/>
      </c>
      <c r="J40" s="133" t="str">
        <f t="shared" si="17"/>
        <v/>
      </c>
      <c r="K40" s="133" t="str">
        <f t="shared" si="17"/>
        <v/>
      </c>
      <c r="L40" s="133" t="str">
        <f t="shared" si="17"/>
        <v/>
      </c>
      <c r="M40" s="133">
        <f t="shared" si="17"/>
        <v>0</v>
      </c>
      <c r="N40" s="134">
        <f>AVERAGE(B40:M40)</f>
        <v>0</v>
      </c>
    </row>
    <row r="41" spans="1:14" x14ac:dyDescent="0.25">
      <c r="A41" s="141" t="s">
        <v>65</v>
      </c>
      <c r="B41" s="137">
        <f>IFERROR(SUM(B12+B27),"")</f>
        <v>0</v>
      </c>
      <c r="C41" s="137" t="str">
        <f t="shared" ref="C41:M41" si="18">IFERROR(SUM(C12+C27),"")</f>
        <v/>
      </c>
      <c r="D41" s="137" t="str">
        <f t="shared" si="18"/>
        <v/>
      </c>
      <c r="E41" s="137" t="str">
        <f t="shared" si="18"/>
        <v/>
      </c>
      <c r="F41" s="137" t="str">
        <f t="shared" si="18"/>
        <v/>
      </c>
      <c r="G41" s="137" t="str">
        <f t="shared" si="18"/>
        <v/>
      </c>
      <c r="H41" s="137" t="str">
        <f t="shared" si="18"/>
        <v/>
      </c>
      <c r="I41" s="137" t="str">
        <f t="shared" si="18"/>
        <v/>
      </c>
      <c r="J41" s="137" t="str">
        <f t="shared" si="18"/>
        <v/>
      </c>
      <c r="K41" s="137" t="str">
        <f t="shared" si="18"/>
        <v/>
      </c>
      <c r="L41" s="137" t="str">
        <f t="shared" si="18"/>
        <v/>
      </c>
      <c r="M41" s="137">
        <f t="shared" si="18"/>
        <v>0</v>
      </c>
      <c r="N41" s="136">
        <f>AVERAGE(B41:M41)</f>
        <v>0</v>
      </c>
    </row>
    <row r="42" spans="1:14" x14ac:dyDescent="0.25">
      <c r="A42" s="141" t="s">
        <v>66</v>
      </c>
      <c r="B42" s="138" t="str">
        <f>IFERROR(SUM(B13+B28),"")</f>
        <v/>
      </c>
      <c r="C42" s="138" t="str">
        <f t="shared" ref="C42:M42" si="19">IFERROR(SUM(C13+C28),"")</f>
        <v/>
      </c>
      <c r="D42" s="138" t="str">
        <f t="shared" si="19"/>
        <v/>
      </c>
      <c r="E42" s="138" t="str">
        <f t="shared" si="19"/>
        <v/>
      </c>
      <c r="F42" s="138" t="str">
        <f t="shared" si="19"/>
        <v/>
      </c>
      <c r="G42" s="138" t="str">
        <f t="shared" si="19"/>
        <v/>
      </c>
      <c r="H42" s="138" t="str">
        <f t="shared" si="19"/>
        <v/>
      </c>
      <c r="I42" s="138" t="str">
        <f t="shared" si="19"/>
        <v/>
      </c>
      <c r="J42" s="138" t="str">
        <f t="shared" si="19"/>
        <v/>
      </c>
      <c r="K42" s="138" t="str">
        <f t="shared" si="19"/>
        <v/>
      </c>
      <c r="L42" s="138" t="str">
        <f t="shared" si="19"/>
        <v/>
      </c>
      <c r="M42" s="138">
        <f t="shared" si="19"/>
        <v>0</v>
      </c>
      <c r="N42" s="136">
        <f>AVERAGE(B42:M42)</f>
        <v>0</v>
      </c>
    </row>
    <row r="43" spans="1:14" x14ac:dyDescent="0.25">
      <c r="A43" s="141" t="s">
        <v>67</v>
      </c>
      <c r="B43" s="138">
        <f>SUM(B14+B29)</f>
        <v>0</v>
      </c>
      <c r="C43" s="138">
        <f t="shared" ref="C43:M43" si="20">SUM(C14+C29)</f>
        <v>0</v>
      </c>
      <c r="D43" s="138">
        <f t="shared" si="20"/>
        <v>0</v>
      </c>
      <c r="E43" s="138">
        <f t="shared" si="20"/>
        <v>0</v>
      </c>
      <c r="F43" s="138">
        <f t="shared" si="20"/>
        <v>0</v>
      </c>
      <c r="G43" s="138">
        <f t="shared" si="20"/>
        <v>0</v>
      </c>
      <c r="H43" s="138">
        <f t="shared" si="20"/>
        <v>0</v>
      </c>
      <c r="I43" s="138">
        <f t="shared" si="20"/>
        <v>0</v>
      </c>
      <c r="J43" s="138">
        <f t="shared" si="20"/>
        <v>0</v>
      </c>
      <c r="K43" s="138">
        <f t="shared" si="20"/>
        <v>0</v>
      </c>
      <c r="L43" s="138">
        <f t="shared" si="20"/>
        <v>0</v>
      </c>
      <c r="M43" s="138">
        <f t="shared" si="20"/>
        <v>0</v>
      </c>
      <c r="N43" s="136">
        <f t="shared" ref="N43:N44" si="21">AVERAGE(B43:M43)</f>
        <v>0</v>
      </c>
    </row>
    <row r="44" spans="1:14" x14ac:dyDescent="0.25">
      <c r="A44" s="142" t="s">
        <v>68</v>
      </c>
      <c r="B44" s="138">
        <f>SUM(B15+B30)</f>
        <v>8</v>
      </c>
      <c r="C44" s="138">
        <f t="shared" ref="C44:M45" si="22">SUM(C15+C30)</f>
        <v>167</v>
      </c>
      <c r="D44" s="138">
        <f t="shared" si="22"/>
        <v>173</v>
      </c>
      <c r="E44" s="138">
        <f t="shared" si="22"/>
        <v>127</v>
      </c>
      <c r="F44" s="138">
        <f t="shared" si="22"/>
        <v>97</v>
      </c>
      <c r="G44" s="138">
        <f t="shared" si="22"/>
        <v>32</v>
      </c>
      <c r="H44" s="138">
        <f t="shared" si="22"/>
        <v>0</v>
      </c>
      <c r="I44" s="138">
        <f t="shared" si="22"/>
        <v>0</v>
      </c>
      <c r="J44" s="138">
        <f t="shared" si="22"/>
        <v>0</v>
      </c>
      <c r="K44" s="138">
        <f t="shared" si="22"/>
        <v>0</v>
      </c>
      <c r="L44" s="138">
        <f t="shared" si="22"/>
        <v>0</v>
      </c>
      <c r="M44" s="138">
        <f t="shared" si="22"/>
        <v>0</v>
      </c>
      <c r="N44" s="136">
        <f t="shared" si="21"/>
        <v>50.333333333333336</v>
      </c>
    </row>
    <row r="45" spans="1:14" x14ac:dyDescent="0.25">
      <c r="A45" s="143" t="s">
        <v>3</v>
      </c>
      <c r="B45" s="224">
        <f>SUM(B16+B31)</f>
        <v>0</v>
      </c>
      <c r="C45" s="224">
        <f t="shared" si="22"/>
        <v>6</v>
      </c>
      <c r="D45" s="224">
        <f t="shared" si="22"/>
        <v>677.99999999999989</v>
      </c>
      <c r="E45" s="224">
        <f t="shared" si="22"/>
        <v>540</v>
      </c>
      <c r="F45" s="224">
        <f t="shared" si="22"/>
        <v>324</v>
      </c>
      <c r="G45" s="224">
        <f t="shared" si="22"/>
        <v>102</v>
      </c>
      <c r="H45" s="224">
        <f t="shared" si="22"/>
        <v>0</v>
      </c>
      <c r="I45" s="224">
        <f t="shared" si="22"/>
        <v>0</v>
      </c>
      <c r="J45" s="224">
        <f t="shared" si="22"/>
        <v>0</v>
      </c>
      <c r="K45" s="224">
        <f t="shared" si="22"/>
        <v>0</v>
      </c>
      <c r="L45" s="224">
        <f t="shared" si="22"/>
        <v>0</v>
      </c>
      <c r="M45" s="224">
        <f t="shared" si="22"/>
        <v>6</v>
      </c>
      <c r="N45" s="136">
        <f>AVERAGE(B45:M45)</f>
        <v>138</v>
      </c>
    </row>
  </sheetData>
  <sheetProtection selectLockedCells="1"/>
  <mergeCells count="3">
    <mergeCell ref="A1:N1"/>
    <mergeCell ref="A3:N3"/>
    <mergeCell ref="A18:N18"/>
  </mergeCells>
  <conditionalFormatting sqref="B6:M6">
    <cfRule type="cellIs" dxfId="41" priority="9" operator="greaterThan">
      <formula>110</formula>
    </cfRule>
  </conditionalFormatting>
  <conditionalFormatting sqref="B10:L10">
    <cfRule type="cellIs" dxfId="40" priority="8" operator="greaterThan">
      <formula>20</formula>
    </cfRule>
  </conditionalFormatting>
  <conditionalFormatting sqref="B21:M21">
    <cfRule type="cellIs" dxfId="39" priority="5" operator="greaterThan">
      <formula>110</formula>
    </cfRule>
  </conditionalFormatting>
  <conditionalFormatting sqref="B35:M35">
    <cfRule type="cellIs" dxfId="38" priority="3" operator="greaterThan">
      <formula>110</formula>
    </cfRule>
  </conditionalFormatting>
  <conditionalFormatting sqref="B39:M39">
    <cfRule type="cellIs" dxfId="37" priority="2" operator="greaterThan">
      <formula>20</formula>
    </cfRule>
  </conditionalFormatting>
  <conditionalFormatting sqref="B25:L25">
    <cfRule type="cellIs" dxfId="36" priority="1" operator="greaterThan">
      <formula>20</formula>
    </cfRule>
  </conditionalFormatting>
  <pageMargins left="0.25" right="0.25" top="0.75" bottom="0.75" header="0.3" footer="0.3"/>
  <pageSetup scale="88" orientation="landscape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>
      <selection activeCell="H12" sqref="H12"/>
    </sheetView>
  </sheetViews>
  <sheetFormatPr defaultRowHeight="15" x14ac:dyDescent="0.25"/>
  <cols>
    <col min="1" max="1" width="22" bestFit="1" customWidth="1"/>
    <col min="2" max="2" width="11.5703125" bestFit="1" customWidth="1"/>
    <col min="3" max="3" width="12.7109375" bestFit="1" customWidth="1"/>
    <col min="4" max="6" width="11.5703125" bestFit="1" customWidth="1"/>
    <col min="7" max="8" width="10.42578125" bestFit="1" customWidth="1"/>
    <col min="9" max="9" width="10" bestFit="1" customWidth="1"/>
    <col min="10" max="10" width="14.7109375" bestFit="1" customWidth="1"/>
    <col min="11" max="11" width="12" bestFit="1" customWidth="1"/>
    <col min="12" max="13" width="13.5703125" bestFit="1" customWidth="1"/>
    <col min="14" max="14" width="14.42578125" customWidth="1"/>
    <col min="20" max="20" width="12" bestFit="1" customWidth="1"/>
    <col min="21" max="21" width="14.140625" bestFit="1" customWidth="1"/>
    <col min="22" max="22" width="13.140625" bestFit="1" customWidth="1"/>
    <col min="23" max="23" width="12.7109375" bestFit="1" customWidth="1"/>
    <col min="24" max="24" width="7.28515625" customWidth="1"/>
    <col min="25" max="25" width="11.28515625" bestFit="1" customWidth="1"/>
  </cols>
  <sheetData>
    <row r="1" spans="1:23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23.25" x14ac:dyDescent="0.35">
      <c r="A2" s="267" t="s">
        <v>90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5.75" thickBo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s="10" customFormat="1" ht="24.75" customHeight="1" x14ac:dyDescent="0.25">
      <c r="A4" s="105"/>
      <c r="B4" s="269" t="s">
        <v>89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5"/>
      <c r="P4" s="157"/>
      <c r="Q4" s="157"/>
      <c r="R4" s="157"/>
      <c r="S4" s="158"/>
      <c r="T4" s="159"/>
      <c r="U4" s="159"/>
      <c r="V4" s="159"/>
      <c r="W4" s="159"/>
    </row>
    <row r="5" spans="1:23" s="10" customFormat="1" x14ac:dyDescent="0.25">
      <c r="A5" s="106"/>
      <c r="B5" s="32" t="s">
        <v>32</v>
      </c>
      <c r="C5" s="32" t="s">
        <v>33</v>
      </c>
      <c r="D5" s="32" t="s">
        <v>34</v>
      </c>
      <c r="E5" s="32" t="s">
        <v>35</v>
      </c>
      <c r="F5" s="32" t="s">
        <v>36</v>
      </c>
      <c r="G5" s="32" t="s">
        <v>37</v>
      </c>
      <c r="H5" s="32" t="s">
        <v>38</v>
      </c>
      <c r="I5" s="32" t="s">
        <v>39</v>
      </c>
      <c r="J5" s="32" t="s">
        <v>40</v>
      </c>
      <c r="K5" s="32" t="s">
        <v>41</v>
      </c>
      <c r="L5" s="32" t="s">
        <v>42</v>
      </c>
      <c r="M5" s="32" t="s">
        <v>43</v>
      </c>
      <c r="N5" s="32" t="s">
        <v>53</v>
      </c>
      <c r="O5" s="25"/>
      <c r="P5" s="157"/>
      <c r="Q5" s="157"/>
      <c r="R5" s="157"/>
      <c r="S5" s="158"/>
      <c r="T5" s="159"/>
      <c r="U5" s="159"/>
      <c r="V5" s="159"/>
      <c r="W5" s="159"/>
    </row>
    <row r="6" spans="1:23" x14ac:dyDescent="0.25">
      <c r="A6" s="217" t="s">
        <v>69</v>
      </c>
      <c r="B6" s="125">
        <f t="shared" ref="B6:M6" si="0">SUM(B11:B16)</f>
        <v>108</v>
      </c>
      <c r="C6" s="125">
        <f t="shared" si="0"/>
        <v>183</v>
      </c>
      <c r="D6" s="125">
        <f t="shared" si="0"/>
        <v>274</v>
      </c>
      <c r="E6" s="125">
        <f t="shared" si="0"/>
        <v>336</v>
      </c>
      <c r="F6" s="125">
        <f t="shared" si="0"/>
        <v>377</v>
      </c>
      <c r="G6" s="125">
        <f t="shared" si="0"/>
        <v>371</v>
      </c>
      <c r="H6" s="125">
        <f t="shared" si="0"/>
        <v>232</v>
      </c>
      <c r="I6" s="125">
        <f t="shared" si="0"/>
        <v>233</v>
      </c>
      <c r="J6" s="125">
        <f t="shared" si="0"/>
        <v>145</v>
      </c>
      <c r="K6" s="125">
        <f t="shared" si="0"/>
        <v>265</v>
      </c>
      <c r="L6" s="125">
        <f>SUM(L11:L16)</f>
        <v>410</v>
      </c>
      <c r="M6" s="125">
        <f t="shared" si="0"/>
        <v>0</v>
      </c>
      <c r="N6" s="126">
        <f>SUM(B6:M6)</f>
        <v>2934</v>
      </c>
      <c r="O6" s="112"/>
      <c r="P6" s="112"/>
      <c r="Q6" s="112"/>
      <c r="R6" s="112"/>
      <c r="S6" s="112"/>
      <c r="T6" s="112"/>
      <c r="U6" s="112"/>
      <c r="V6" s="112"/>
      <c r="W6" s="112"/>
    </row>
    <row r="7" spans="1:23" x14ac:dyDescent="0.25">
      <c r="A7" s="217" t="s">
        <v>70</v>
      </c>
      <c r="B7" s="85">
        <v>67</v>
      </c>
      <c r="C7" s="79">
        <v>151</v>
      </c>
      <c r="D7" s="79">
        <v>229</v>
      </c>
      <c r="E7" s="79">
        <v>308</v>
      </c>
      <c r="F7" s="79">
        <v>337</v>
      </c>
      <c r="G7" s="79">
        <v>324</v>
      </c>
      <c r="H7" s="79">
        <v>189</v>
      </c>
      <c r="I7" s="79">
        <v>200</v>
      </c>
      <c r="J7" s="79">
        <v>110</v>
      </c>
      <c r="K7" s="79">
        <v>228</v>
      </c>
      <c r="L7" s="79">
        <v>256</v>
      </c>
      <c r="M7" s="79"/>
      <c r="N7" s="126">
        <f t="shared" ref="N7:N17" si="1">SUM(B7:M7)</f>
        <v>2399</v>
      </c>
      <c r="O7" s="112"/>
      <c r="P7" s="112"/>
      <c r="Q7" s="112"/>
      <c r="R7" s="112"/>
      <c r="S7" s="112"/>
      <c r="T7" s="112"/>
      <c r="U7" s="112"/>
      <c r="V7" s="112"/>
      <c r="W7" s="112"/>
    </row>
    <row r="8" spans="1:23" x14ac:dyDescent="0.25">
      <c r="A8" s="217" t="s">
        <v>71</v>
      </c>
      <c r="B8" s="86">
        <v>3.9583333333333331E-2</v>
      </c>
      <c r="C8" s="80">
        <v>9.5833333333333326E-2</v>
      </c>
      <c r="D8" s="80">
        <v>4.6527777777777779E-2</v>
      </c>
      <c r="E8" s="80">
        <v>4.2361111111111106E-2</v>
      </c>
      <c r="F8" s="80">
        <v>3.8194444444444441E-2</v>
      </c>
      <c r="G8" s="80">
        <v>5.0694444444444452E-2</v>
      </c>
      <c r="H8" s="80">
        <v>5.5555555555555552E-2</v>
      </c>
      <c r="I8" s="80">
        <v>5.4166666666666669E-2</v>
      </c>
      <c r="J8" s="80">
        <v>5.9722222222222225E-2</v>
      </c>
      <c r="K8" s="80">
        <v>3.9583333333333331E-2</v>
      </c>
      <c r="L8" s="80">
        <v>0.18611111111111112</v>
      </c>
      <c r="M8" s="92"/>
      <c r="N8" s="109">
        <f>AVERAGE(B8:M8)</f>
        <v>6.4393939393939392E-2</v>
      </c>
      <c r="O8" s="112"/>
      <c r="P8" s="112"/>
      <c r="Q8" s="112"/>
      <c r="R8" s="112"/>
      <c r="S8" s="112"/>
      <c r="T8" s="112"/>
      <c r="U8" s="112"/>
      <c r="V8" s="112"/>
      <c r="W8" s="112"/>
    </row>
    <row r="9" spans="1:23" x14ac:dyDescent="0.25">
      <c r="A9" s="217" t="s">
        <v>72</v>
      </c>
      <c r="B9" s="215">
        <v>0.64649999999999996</v>
      </c>
      <c r="C9" s="216">
        <v>0.63929999999999998</v>
      </c>
      <c r="D9" s="91" t="s">
        <v>46</v>
      </c>
      <c r="E9" s="91" t="s">
        <v>47</v>
      </c>
      <c r="F9" s="216">
        <v>0.78779999999999994</v>
      </c>
      <c r="G9" s="91" t="s">
        <v>48</v>
      </c>
      <c r="H9" s="216">
        <v>0.69830000000000003</v>
      </c>
      <c r="I9" s="216">
        <v>0.82830000000000004</v>
      </c>
      <c r="J9" s="216">
        <v>0.67589999999999995</v>
      </c>
      <c r="K9" s="216">
        <v>0.68679999999999997</v>
      </c>
      <c r="L9" s="216">
        <v>0.50239999999999996</v>
      </c>
      <c r="M9" s="216"/>
      <c r="N9" s="110">
        <f>SUM(B9:M9)/12</f>
        <v>0.45544166666666658</v>
      </c>
      <c r="O9" s="112"/>
      <c r="P9" s="112"/>
      <c r="Q9" s="112"/>
      <c r="R9" s="112"/>
      <c r="S9" s="112"/>
      <c r="T9" s="112"/>
      <c r="U9" s="112"/>
      <c r="V9" s="112"/>
      <c r="W9" s="112"/>
    </row>
    <row r="10" spans="1:23" s="78" customFormat="1" ht="1.5" customHeight="1" x14ac:dyDescent="0.25">
      <c r="A10" s="217"/>
      <c r="B10" s="87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11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x14ac:dyDescent="0.25">
      <c r="A11" s="217" t="s">
        <v>7</v>
      </c>
      <c r="B11" s="88">
        <v>37</v>
      </c>
      <c r="C11" s="82">
        <v>85</v>
      </c>
      <c r="D11" s="82">
        <v>98</v>
      </c>
      <c r="E11" s="82">
        <v>121</v>
      </c>
      <c r="F11" s="82">
        <v>107</v>
      </c>
      <c r="G11" s="82">
        <v>69</v>
      </c>
      <c r="H11" s="82">
        <v>79</v>
      </c>
      <c r="I11" s="82">
        <v>145</v>
      </c>
      <c r="J11" s="82">
        <v>88</v>
      </c>
      <c r="K11" s="82">
        <v>82</v>
      </c>
      <c r="L11" s="82">
        <v>84</v>
      </c>
      <c r="M11" s="82"/>
      <c r="N11" s="108">
        <f t="shared" si="1"/>
        <v>995</v>
      </c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x14ac:dyDescent="0.25">
      <c r="A12" s="217" t="s">
        <v>84</v>
      </c>
      <c r="B12" s="88">
        <v>24</v>
      </c>
      <c r="C12" s="82">
        <v>43</v>
      </c>
      <c r="D12" s="82">
        <v>76</v>
      </c>
      <c r="E12" s="82">
        <v>79</v>
      </c>
      <c r="F12" s="82">
        <v>103</v>
      </c>
      <c r="G12" s="82">
        <v>103</v>
      </c>
      <c r="H12" s="82">
        <v>49</v>
      </c>
      <c r="I12" s="82">
        <v>6</v>
      </c>
      <c r="J12" s="82">
        <v>6</v>
      </c>
      <c r="K12" s="82">
        <v>74</v>
      </c>
      <c r="L12" s="82">
        <v>99</v>
      </c>
      <c r="M12" s="82"/>
      <c r="N12" s="108">
        <f t="shared" si="1"/>
        <v>662</v>
      </c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3" x14ac:dyDescent="0.25">
      <c r="A13" s="217" t="s">
        <v>8</v>
      </c>
      <c r="B13" s="85">
        <v>22</v>
      </c>
      <c r="C13" s="79">
        <v>41</v>
      </c>
      <c r="D13" s="79">
        <v>39</v>
      </c>
      <c r="E13" s="79">
        <v>46</v>
      </c>
      <c r="F13" s="79">
        <v>27</v>
      </c>
      <c r="G13" s="79">
        <v>41</v>
      </c>
      <c r="H13" s="79">
        <v>35</v>
      </c>
      <c r="I13" s="79">
        <v>27</v>
      </c>
      <c r="J13" s="79">
        <v>44</v>
      </c>
      <c r="K13" s="79">
        <v>54</v>
      </c>
      <c r="L13" s="79">
        <v>59</v>
      </c>
      <c r="M13" s="79"/>
      <c r="N13" s="108">
        <f t="shared" si="1"/>
        <v>435</v>
      </c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3" x14ac:dyDescent="0.25">
      <c r="A14" s="217" t="s">
        <v>54</v>
      </c>
      <c r="B14" s="89">
        <v>21</v>
      </c>
      <c r="C14" s="83">
        <v>8</v>
      </c>
      <c r="D14" s="83">
        <v>20</v>
      </c>
      <c r="E14" s="83">
        <v>40</v>
      </c>
      <c r="F14" s="83">
        <v>92</v>
      </c>
      <c r="G14" s="83">
        <v>135</v>
      </c>
      <c r="H14" s="83">
        <v>61</v>
      </c>
      <c r="I14" s="83">
        <v>55</v>
      </c>
      <c r="J14" s="83">
        <v>4</v>
      </c>
      <c r="K14" s="83">
        <v>17</v>
      </c>
      <c r="L14" s="83">
        <v>102</v>
      </c>
      <c r="M14" s="83"/>
      <c r="N14" s="108">
        <f t="shared" si="1"/>
        <v>555</v>
      </c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x14ac:dyDescent="0.25">
      <c r="A15" s="217" t="s">
        <v>55</v>
      </c>
      <c r="B15" s="90">
        <v>2</v>
      </c>
      <c r="C15" s="84">
        <v>4</v>
      </c>
      <c r="D15" s="84">
        <v>3</v>
      </c>
      <c r="E15" s="84">
        <v>4</v>
      </c>
      <c r="F15" s="84">
        <v>5</v>
      </c>
      <c r="G15" s="84">
        <v>12</v>
      </c>
      <c r="H15" s="84">
        <v>5</v>
      </c>
      <c r="I15" s="84">
        <v>0</v>
      </c>
      <c r="J15" s="84">
        <v>3</v>
      </c>
      <c r="K15" s="84">
        <v>8</v>
      </c>
      <c r="L15" s="84">
        <v>32</v>
      </c>
      <c r="M15" s="84"/>
      <c r="N15" s="108">
        <f t="shared" si="1"/>
        <v>78</v>
      </c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x14ac:dyDescent="0.25">
      <c r="A16" s="217" t="s">
        <v>1</v>
      </c>
      <c r="B16" s="85">
        <v>2</v>
      </c>
      <c r="C16" s="79">
        <v>2</v>
      </c>
      <c r="D16" s="79">
        <v>38</v>
      </c>
      <c r="E16" s="79">
        <v>46</v>
      </c>
      <c r="F16" s="79">
        <v>43</v>
      </c>
      <c r="G16" s="79">
        <v>11</v>
      </c>
      <c r="H16" s="79">
        <v>3</v>
      </c>
      <c r="I16" s="79">
        <v>0</v>
      </c>
      <c r="J16" s="79">
        <v>0</v>
      </c>
      <c r="K16" s="79">
        <v>30</v>
      </c>
      <c r="L16" s="79">
        <v>34</v>
      </c>
      <c r="M16" s="79"/>
      <c r="N16" s="108">
        <f t="shared" si="1"/>
        <v>209</v>
      </c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x14ac:dyDescent="0.25">
      <c r="A17" s="120" t="s">
        <v>56</v>
      </c>
      <c r="B17" s="121">
        <v>3</v>
      </c>
      <c r="C17" s="122">
        <v>1</v>
      </c>
      <c r="D17" s="122">
        <v>3</v>
      </c>
      <c r="E17" s="122">
        <v>3</v>
      </c>
      <c r="F17" s="122">
        <v>2</v>
      </c>
      <c r="G17" s="122">
        <v>1</v>
      </c>
      <c r="H17" s="122"/>
      <c r="I17" s="122"/>
      <c r="J17" s="122"/>
      <c r="K17" s="122"/>
      <c r="L17" s="122"/>
      <c r="M17" s="123"/>
      <c r="N17" s="124">
        <f t="shared" si="1"/>
        <v>13</v>
      </c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x14ac:dyDescent="0.25">
      <c r="A18" s="218" t="s">
        <v>98</v>
      </c>
      <c r="B18" s="219">
        <f>(B17*0.3)*300</f>
        <v>270</v>
      </c>
      <c r="C18" s="219">
        <f>(C17*0.3)*300</f>
        <v>90</v>
      </c>
      <c r="D18" s="219">
        <f t="shared" ref="D18:M18" si="2">(D17*0.3)*300</f>
        <v>270</v>
      </c>
      <c r="E18" s="219">
        <f t="shared" si="2"/>
        <v>270</v>
      </c>
      <c r="F18" s="219">
        <f t="shared" si="2"/>
        <v>180</v>
      </c>
      <c r="G18" s="219">
        <f t="shared" si="2"/>
        <v>90</v>
      </c>
      <c r="H18" s="219">
        <f t="shared" si="2"/>
        <v>0</v>
      </c>
      <c r="I18" s="219">
        <f t="shared" si="2"/>
        <v>0</v>
      </c>
      <c r="J18" s="219">
        <f t="shared" si="2"/>
        <v>0</v>
      </c>
      <c r="K18" s="219">
        <f t="shared" si="2"/>
        <v>0</v>
      </c>
      <c r="L18" s="219">
        <f t="shared" si="2"/>
        <v>0</v>
      </c>
      <c r="M18" s="219">
        <f t="shared" si="2"/>
        <v>0</v>
      </c>
      <c r="N18" s="220">
        <f>IFERROR(SUM(B18:M18),"")</f>
        <v>1170</v>
      </c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x14ac:dyDescent="0.25">
      <c r="A19" s="93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3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23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1:23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1:23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23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1:23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1:23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</sheetData>
  <sheetProtection sheet="1" objects="1" scenarios="1" selectLockedCells="1"/>
  <mergeCells count="2">
    <mergeCell ref="B4:N4"/>
    <mergeCell ref="A2:N2"/>
  </mergeCells>
  <conditionalFormatting sqref="B7:M7">
    <cfRule type="cellIs" dxfId="35" priority="2" operator="greaterThan">
      <formula>110</formula>
    </cfRule>
  </conditionalFormatting>
  <conditionalFormatting sqref="B10:L10">
    <cfRule type="cellIs" dxfId="34" priority="1" operator="greaterThan">
      <formula>20</formula>
    </cfRule>
  </conditionalFormatting>
  <pageMargins left="0.7" right="0.7" top="0.75" bottom="0.75" header="0.3" footer="0.3"/>
  <pageSetup scale="64" orientation="landscape" horizontalDpi="0" verticalDpi="0" r:id="rId1"/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C4" sqref="C4"/>
    </sheetView>
  </sheetViews>
  <sheetFormatPr defaultColWidth="8.85546875" defaultRowHeight="14.25" x14ac:dyDescent="0.2"/>
  <cols>
    <col min="1" max="1" width="21.42578125" style="10" customWidth="1"/>
    <col min="2" max="2" width="13.85546875" style="10" bestFit="1" customWidth="1"/>
    <col min="3" max="3" width="13.7109375" style="10" bestFit="1" customWidth="1"/>
    <col min="4" max="4" width="13.140625" style="10" customWidth="1"/>
    <col min="5" max="5" width="11.28515625" style="10" customWidth="1"/>
    <col min="6" max="6" width="11.7109375" style="10" hidden="1" customWidth="1"/>
    <col min="7" max="7" width="13.7109375" style="10" bestFit="1" customWidth="1"/>
    <col min="8" max="8" width="17.85546875" style="10" customWidth="1"/>
    <col min="9" max="9" width="11.7109375" style="10" hidden="1" customWidth="1"/>
    <col min="10" max="16384" width="8.85546875" style="10"/>
  </cols>
  <sheetData>
    <row r="1" spans="1:9" ht="23.25" x14ac:dyDescent="0.35">
      <c r="A1" s="267" t="s">
        <v>99</v>
      </c>
      <c r="B1" s="267"/>
      <c r="C1" s="267"/>
      <c r="D1" s="267"/>
      <c r="E1" s="267"/>
      <c r="F1" s="267"/>
      <c r="G1" s="267"/>
      <c r="H1" s="267"/>
    </row>
    <row r="2" spans="1:9" ht="15.75" thickBot="1" x14ac:dyDescent="0.25">
      <c r="A2" s="213" t="s">
        <v>36</v>
      </c>
      <c r="B2" s="10" t="s">
        <v>95</v>
      </c>
    </row>
    <row r="3" spans="1:9" ht="38.25" customHeight="1" x14ac:dyDescent="0.25">
      <c r="A3" s="41"/>
      <c r="B3" s="161" t="s">
        <v>3</v>
      </c>
      <c r="C3" s="161" t="s">
        <v>29</v>
      </c>
      <c r="D3" s="161" t="s">
        <v>28</v>
      </c>
      <c r="E3" s="161" t="s">
        <v>5</v>
      </c>
      <c r="F3" s="161" t="s">
        <v>11</v>
      </c>
      <c r="G3" s="161" t="s">
        <v>30</v>
      </c>
      <c r="H3" s="204" t="s">
        <v>17</v>
      </c>
      <c r="I3" s="42" t="s">
        <v>11</v>
      </c>
    </row>
    <row r="4" spans="1:9" ht="15" customHeight="1" x14ac:dyDescent="0.25">
      <c r="A4" s="43" t="s">
        <v>7</v>
      </c>
      <c r="B4" s="206">
        <v>0</v>
      </c>
      <c r="C4" s="207">
        <v>0</v>
      </c>
      <c r="D4" s="155">
        <v>50</v>
      </c>
      <c r="E4" s="205">
        <f>HLOOKUP($A$2,AnalyticsTABLE,MATCH(A4,Analytics_lookup,-1),0)</f>
        <v>377</v>
      </c>
      <c r="F4" s="16"/>
      <c r="G4" s="44">
        <f>IFERROR(B4/D4,"")</f>
        <v>0</v>
      </c>
      <c r="H4" s="45">
        <f t="shared" ref="H4:H10" si="0">IFERROR(D4/E4,0)</f>
        <v>0.13262599469496023</v>
      </c>
      <c r="I4" s="46"/>
    </row>
    <row r="5" spans="1:9" ht="15" x14ac:dyDescent="0.25">
      <c r="A5" s="47" t="s">
        <v>8</v>
      </c>
      <c r="B5" s="208">
        <v>0</v>
      </c>
      <c r="C5" s="156">
        <v>0</v>
      </c>
      <c r="D5" s="156">
        <v>10</v>
      </c>
      <c r="E5" s="205">
        <f>HLOOKUP($A$2,AnalyticsTABLE,9,FALSE)</f>
        <v>27</v>
      </c>
      <c r="F5" s="13"/>
      <c r="G5" s="44">
        <f t="shared" ref="G5:G13" si="1">IFERROR(B5/D5,"")</f>
        <v>0</v>
      </c>
      <c r="H5" s="45">
        <f t="shared" si="0"/>
        <v>0.37037037037037035</v>
      </c>
      <c r="I5" s="46"/>
    </row>
    <row r="6" spans="1:9" ht="15" x14ac:dyDescent="0.25">
      <c r="A6" s="47" t="s">
        <v>54</v>
      </c>
      <c r="B6" s="208">
        <v>0</v>
      </c>
      <c r="C6" s="209">
        <v>0</v>
      </c>
      <c r="D6" s="156">
        <v>1</v>
      </c>
      <c r="E6" s="205">
        <f>HLOOKUP($A$2,AnalyticsTABLE,10,0)</f>
        <v>92</v>
      </c>
      <c r="F6" s="13"/>
      <c r="G6" s="44">
        <f t="shared" si="1"/>
        <v>0</v>
      </c>
      <c r="H6" s="45">
        <f t="shared" si="0"/>
        <v>1.0869565217391304E-2</v>
      </c>
      <c r="I6" s="46"/>
    </row>
    <row r="7" spans="1:9" ht="15" x14ac:dyDescent="0.25">
      <c r="A7" s="37" t="s">
        <v>1</v>
      </c>
      <c r="B7" s="226">
        <f>HLOOKUP($A$2,NetworkDisplayTABLE,11,0)</f>
        <v>0</v>
      </c>
      <c r="C7" s="210">
        <v>0</v>
      </c>
      <c r="D7" s="152">
        <v>0</v>
      </c>
      <c r="E7" s="205">
        <f>HLOOKUP($A$2,NetworkDisplayTABLE,3,0)</f>
        <v>11</v>
      </c>
      <c r="F7" s="13"/>
      <c r="G7" s="44" t="str">
        <f t="shared" si="1"/>
        <v/>
      </c>
      <c r="H7" s="45">
        <f t="shared" si="0"/>
        <v>0</v>
      </c>
      <c r="I7" s="46"/>
    </row>
    <row r="8" spans="1:9" ht="15" customHeight="1" x14ac:dyDescent="0.25">
      <c r="A8" s="43" t="s">
        <v>26</v>
      </c>
      <c r="B8" s="206">
        <v>0</v>
      </c>
      <c r="C8" s="155">
        <v>0</v>
      </c>
      <c r="D8" s="155">
        <v>1</v>
      </c>
      <c r="E8" s="155"/>
      <c r="F8" s="13"/>
      <c r="G8" s="44">
        <f t="shared" si="1"/>
        <v>0</v>
      </c>
      <c r="H8" s="45">
        <f t="shared" si="0"/>
        <v>0</v>
      </c>
      <c r="I8" s="46"/>
    </row>
    <row r="9" spans="1:9" ht="15.75" thickBot="1" x14ac:dyDescent="0.3">
      <c r="A9" s="47" t="s">
        <v>10</v>
      </c>
      <c r="B9" s="208">
        <v>0</v>
      </c>
      <c r="C9" s="209">
        <v>0</v>
      </c>
      <c r="D9" s="156">
        <v>2</v>
      </c>
      <c r="E9" s="156">
        <v>25000</v>
      </c>
      <c r="F9" s="13"/>
      <c r="G9" s="44">
        <f t="shared" si="1"/>
        <v>0</v>
      </c>
      <c r="H9" s="45">
        <f t="shared" si="0"/>
        <v>8.0000000000000007E-5</v>
      </c>
      <c r="I9" s="48"/>
    </row>
    <row r="10" spans="1:9" ht="15.75" thickTop="1" x14ac:dyDescent="0.25">
      <c r="A10" s="43" t="s">
        <v>55</v>
      </c>
      <c r="B10" s="227">
        <f>HLOOKUP($A$2,socialMediaTABLE,13,0)</f>
        <v>324</v>
      </c>
      <c r="C10" s="207">
        <v>0</v>
      </c>
      <c r="D10" s="207">
        <v>3</v>
      </c>
      <c r="E10" s="16">
        <f>HLOOKUP($A$2,AnalyticsTABLE,11,0)</f>
        <v>5</v>
      </c>
      <c r="F10" s="16"/>
      <c r="G10" s="44">
        <f t="shared" si="1"/>
        <v>108</v>
      </c>
      <c r="H10" s="49">
        <f t="shared" si="0"/>
        <v>0.6</v>
      </c>
      <c r="I10" s="46"/>
    </row>
    <row r="11" spans="1:9" ht="15" x14ac:dyDescent="0.25">
      <c r="A11" s="50" t="s">
        <v>15</v>
      </c>
      <c r="B11" s="151">
        <v>0</v>
      </c>
      <c r="C11" s="211">
        <v>1</v>
      </c>
      <c r="D11" s="153">
        <v>10</v>
      </c>
      <c r="E11" s="14">
        <v>250</v>
      </c>
      <c r="F11" s="14"/>
      <c r="G11" s="44">
        <f t="shared" si="1"/>
        <v>0</v>
      </c>
      <c r="H11" s="45">
        <f t="shared" ref="H11:H13" si="2">IFERROR(D11/E11,0)</f>
        <v>0.04</v>
      </c>
      <c r="I11" s="51"/>
    </row>
    <row r="12" spans="1:9" ht="15" x14ac:dyDescent="0.25">
      <c r="A12" s="50" t="s">
        <v>16</v>
      </c>
      <c r="B12" s="151">
        <v>0</v>
      </c>
      <c r="C12" s="211">
        <v>0</v>
      </c>
      <c r="D12" s="153">
        <v>1</v>
      </c>
      <c r="E12" s="14">
        <v>10</v>
      </c>
      <c r="F12" s="14"/>
      <c r="G12" s="44">
        <f t="shared" si="1"/>
        <v>0</v>
      </c>
      <c r="H12" s="45">
        <f t="shared" si="2"/>
        <v>0.1</v>
      </c>
      <c r="I12" s="51"/>
    </row>
    <row r="13" spans="1:9" ht="15.75" thickBot="1" x14ac:dyDescent="0.3">
      <c r="A13" s="35" t="s">
        <v>98</v>
      </c>
      <c r="B13" s="221">
        <f>HLOOKUP($A$2,AnalyticsTABLE,14,0)</f>
        <v>180</v>
      </c>
      <c r="C13" s="212"/>
      <c r="D13" s="154"/>
      <c r="E13" s="15"/>
      <c r="F13" s="15"/>
      <c r="G13" s="44" t="str">
        <f t="shared" si="1"/>
        <v/>
      </c>
      <c r="H13" s="36">
        <f t="shared" si="2"/>
        <v>0</v>
      </c>
      <c r="I13" s="51"/>
    </row>
    <row r="14" spans="1:9" ht="31.5" customHeight="1" thickTop="1" thickBot="1" x14ac:dyDescent="0.25">
      <c r="A14" s="52" t="s">
        <v>13</v>
      </c>
      <c r="B14" s="53">
        <f>SUM(B4:B13)-B7-B10</f>
        <v>180</v>
      </c>
      <c r="C14" s="214">
        <f>SUM(C4:C13)</f>
        <v>1</v>
      </c>
      <c r="D14" s="54">
        <f>SUM(D4:D13)</f>
        <v>78</v>
      </c>
      <c r="E14" s="54">
        <f>SUM(E4:E13)</f>
        <v>25772</v>
      </c>
      <c r="F14" s="54">
        <f>SUM(F5:F13)</f>
        <v>0</v>
      </c>
      <c r="G14" s="55">
        <f>AVERAGE(G4:G13)</f>
        <v>13.5</v>
      </c>
      <c r="H14" s="56">
        <f>IFERROR(D14/E14,0)</f>
        <v>3.0265404314760206E-3</v>
      </c>
      <c r="I14" s="57"/>
    </row>
    <row r="15" spans="1:9" x14ac:dyDescent="0.2">
      <c r="D15" s="31"/>
    </row>
    <row r="16" spans="1:9" ht="15" x14ac:dyDescent="0.25">
      <c r="A16" s="19"/>
      <c r="B16" s="20"/>
      <c r="C16" s="20"/>
    </row>
    <row r="17" spans="1:3" ht="15" x14ac:dyDescent="0.2">
      <c r="A17" s="21"/>
      <c r="B17" s="22"/>
      <c r="C17" s="22"/>
    </row>
    <row r="18" spans="1:3" ht="15" x14ac:dyDescent="0.2">
      <c r="A18" s="21"/>
      <c r="B18" s="22"/>
      <c r="C18" s="22"/>
    </row>
    <row r="19" spans="1:3" ht="15" x14ac:dyDescent="0.2">
      <c r="A19" s="21"/>
      <c r="B19" s="22"/>
      <c r="C19" s="22"/>
    </row>
    <row r="20" spans="1:3" ht="15" x14ac:dyDescent="0.2">
      <c r="A20" s="21"/>
      <c r="B20" s="22"/>
      <c r="C20" s="22"/>
    </row>
    <row r="21" spans="1:3" x14ac:dyDescent="0.2">
      <c r="A21" s="23"/>
      <c r="B21" s="24"/>
      <c r="C21" s="24"/>
    </row>
    <row r="22" spans="1:3" x14ac:dyDescent="0.2">
      <c r="A22" s="24"/>
      <c r="B22" s="24"/>
      <c r="C22" s="24"/>
    </row>
    <row r="23" spans="1:3" x14ac:dyDescent="0.2">
      <c r="B23" s="24"/>
      <c r="C23" s="24"/>
    </row>
    <row r="24" spans="1:3" x14ac:dyDescent="0.2">
      <c r="A24" s="23"/>
      <c r="B24" s="24"/>
      <c r="C24" s="24"/>
    </row>
    <row r="25" spans="1:3" x14ac:dyDescent="0.2">
      <c r="A25" s="24"/>
      <c r="B25" s="24"/>
      <c r="C25" s="24"/>
    </row>
    <row r="26" spans="1:3" x14ac:dyDescent="0.2">
      <c r="B26" s="24"/>
      <c r="C26" s="24"/>
    </row>
    <row r="27" spans="1:3" x14ac:dyDescent="0.2">
      <c r="A27" s="23"/>
      <c r="B27" s="24"/>
      <c r="C27" s="24"/>
    </row>
    <row r="28" spans="1:3" x14ac:dyDescent="0.2">
      <c r="A28" s="24"/>
      <c r="B28" s="24"/>
      <c r="C28" s="24"/>
    </row>
  </sheetData>
  <sheetProtection sheet="1" objects="1" scenarios="1" selectLockedCells="1"/>
  <mergeCells count="1">
    <mergeCell ref="A1:H1"/>
  </mergeCells>
  <phoneticPr fontId="7" type="noConversion"/>
  <dataValidations count="1">
    <dataValidation type="list" allowBlank="1" showInputMessage="1" showErrorMessage="1" sqref="A2">
      <formula1>Months</formula1>
    </dataValidation>
  </dataValidations>
  <pageMargins left="0.25" right="0.25" top="0.75" bottom="0.75" header="0.3" footer="0.3"/>
  <pageSetup orientation="landscape"/>
  <customProperties>
    <customPr name="LastActive" r:id="rId1"/>
    <customPr name="ORB_SHEETNAME" r:id="rId2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M7" sqref="M7"/>
    </sheetView>
  </sheetViews>
  <sheetFormatPr defaultColWidth="8.85546875" defaultRowHeight="15" x14ac:dyDescent="0.25"/>
  <cols>
    <col min="1" max="1" width="13.85546875" customWidth="1"/>
    <col min="2" max="2" width="10.7109375" bestFit="1" customWidth="1"/>
    <col min="3" max="3" width="11.140625" bestFit="1" customWidth="1"/>
    <col min="4" max="4" width="10.7109375" bestFit="1" customWidth="1"/>
    <col min="5" max="5" width="9.7109375" bestFit="1" customWidth="1"/>
    <col min="6" max="6" width="19.7109375" customWidth="1"/>
    <col min="7" max="7" width="10.7109375" bestFit="1" customWidth="1"/>
    <col min="8" max="8" width="20.5703125" customWidth="1"/>
    <col min="10" max="10" width="19" customWidth="1"/>
    <col min="12" max="12" width="22.7109375" customWidth="1"/>
    <col min="13" max="13" width="9.7109375" bestFit="1" customWidth="1"/>
    <col min="14" max="14" width="11.140625" bestFit="1" customWidth="1"/>
  </cols>
  <sheetData>
    <row r="1" spans="1:16" x14ac:dyDescent="0.25">
      <c r="B1" s="7"/>
      <c r="M1" s="7"/>
    </row>
    <row r="2" spans="1:16" x14ac:dyDescent="0.25">
      <c r="B2" s="7"/>
      <c r="M2" s="7"/>
    </row>
    <row r="4" spans="1:16" x14ac:dyDescent="0.25">
      <c r="A4" s="1"/>
      <c r="D4" s="272" t="s">
        <v>94</v>
      </c>
      <c r="E4" s="273"/>
      <c r="F4" s="273"/>
      <c r="G4" s="273"/>
      <c r="H4" s="273"/>
      <c r="I4" s="273"/>
      <c r="J4" s="274"/>
      <c r="L4" s="1"/>
    </row>
    <row r="5" spans="1:16" x14ac:dyDescent="0.25">
      <c r="L5" s="271" t="s">
        <v>19</v>
      </c>
      <c r="M5" s="271"/>
      <c r="N5" s="271"/>
      <c r="O5" s="144"/>
    </row>
    <row r="6" spans="1:16" x14ac:dyDescent="0.25">
      <c r="A6" s="2"/>
      <c r="C6" s="5"/>
      <c r="D6" t="s">
        <v>76</v>
      </c>
      <c r="F6" s="1" t="s">
        <v>73</v>
      </c>
      <c r="G6" s="3"/>
      <c r="H6" s="114" t="s">
        <v>74</v>
      </c>
      <c r="J6" s="1" t="s">
        <v>75</v>
      </c>
      <c r="L6" s="160" t="s">
        <v>91</v>
      </c>
      <c r="M6" s="146" t="s">
        <v>5</v>
      </c>
      <c r="N6" s="147" t="s">
        <v>3</v>
      </c>
      <c r="O6" s="144" t="s">
        <v>86</v>
      </c>
    </row>
    <row r="7" spans="1:16" x14ac:dyDescent="0.25">
      <c r="A7" s="2"/>
      <c r="C7" s="5"/>
      <c r="D7" t="s">
        <v>32</v>
      </c>
      <c r="F7" s="113" t="str">
        <f>'Google Ads'!A7</f>
        <v>Impressions</v>
      </c>
      <c r="H7" s="113" t="str">
        <f>'Social Media'!A5</f>
        <v>Impressions</v>
      </c>
      <c r="J7" t="str">
        <f>'Google Analytics'!A6</f>
        <v xml:space="preserve">Total visits </v>
      </c>
      <c r="L7" s="145" t="s">
        <v>7</v>
      </c>
      <c r="M7" s="148">
        <f>VLOOKUP(L7,AnalyticsTABLE,14,0)</f>
        <v>995</v>
      </c>
      <c r="N7" s="149">
        <f>O7*300</f>
        <v>3300</v>
      </c>
      <c r="O7" s="144">
        <v>11</v>
      </c>
    </row>
    <row r="8" spans="1:16" x14ac:dyDescent="0.25">
      <c r="A8" s="1"/>
      <c r="D8" t="s">
        <v>33</v>
      </c>
      <c r="F8" s="113" t="str">
        <f>'Google Ads'!A8</f>
        <v>Clicks</v>
      </c>
      <c r="H8" s="113" t="str">
        <f>'Social Media'!A6</f>
        <v>Clicks</v>
      </c>
      <c r="J8" t="str">
        <f>'Google Analytics'!A7</f>
        <v>Unique visitors</v>
      </c>
      <c r="L8" s="150" t="s">
        <v>84</v>
      </c>
      <c r="M8" s="148">
        <f>VLOOKUP(L8,AnalyticsTABLE,14,0)</f>
        <v>662</v>
      </c>
      <c r="N8" s="149">
        <f t="shared" ref="N8:N14" si="0">O8*300</f>
        <v>4500</v>
      </c>
      <c r="O8" s="144">
        <v>15</v>
      </c>
    </row>
    <row r="9" spans="1:16" x14ac:dyDescent="0.25">
      <c r="D9" t="s">
        <v>34</v>
      </c>
      <c r="F9" s="113" t="str">
        <f>'Google Ads'!A9</f>
        <v>CTR</v>
      </c>
      <c r="G9" s="2"/>
      <c r="H9" s="113" t="str">
        <f>'Social Media'!A7</f>
        <v>CTR</v>
      </c>
      <c r="J9" t="str">
        <f>'Google Analytics'!A8</f>
        <v>Avg session duration</v>
      </c>
      <c r="L9" s="150" t="s">
        <v>97</v>
      </c>
      <c r="M9" s="148">
        <f>VLOOKUP(L9,NetworkDisplayTABLE,16,0)</f>
        <v>130</v>
      </c>
      <c r="N9" s="149">
        <f t="shared" si="0"/>
        <v>3000</v>
      </c>
      <c r="O9" s="144">
        <v>10</v>
      </c>
      <c r="P9" s="30"/>
    </row>
    <row r="10" spans="1:16" x14ac:dyDescent="0.25">
      <c r="A10" s="2"/>
      <c r="C10" s="5"/>
      <c r="D10" t="s">
        <v>35</v>
      </c>
      <c r="F10" s="113" t="str">
        <f>'Google Ads'!A10</f>
        <v>Cost</v>
      </c>
      <c r="H10" s="113" t="str">
        <f>'Social Media'!A9</f>
        <v>Cost</v>
      </c>
      <c r="J10" t="str">
        <f>'Google Analytics'!A9</f>
        <v>Bounce rate</v>
      </c>
      <c r="L10" s="150" t="s">
        <v>15</v>
      </c>
      <c r="M10" s="148">
        <v>525</v>
      </c>
      <c r="N10" s="149">
        <f t="shared" si="0"/>
        <v>4200</v>
      </c>
      <c r="O10" s="144">
        <v>14</v>
      </c>
    </row>
    <row r="11" spans="1:16" x14ac:dyDescent="0.25">
      <c r="D11" t="s">
        <v>36</v>
      </c>
      <c r="F11" s="113" t="str">
        <f>'Google Ads'!A11</f>
        <v>Conversions</v>
      </c>
      <c r="H11" s="113" t="str">
        <f>'Social Media'!A10</f>
        <v>Conversion</v>
      </c>
      <c r="J11" t="str">
        <f>'Google Analytics'!A11</f>
        <v>Organic Search</v>
      </c>
      <c r="L11" s="150" t="s">
        <v>10</v>
      </c>
      <c r="M11" s="148">
        <v>352</v>
      </c>
      <c r="N11" s="149">
        <f t="shared" si="0"/>
        <v>3900</v>
      </c>
      <c r="O11" s="144">
        <v>13</v>
      </c>
    </row>
    <row r="12" spans="1:16" x14ac:dyDescent="0.25">
      <c r="A12" s="1"/>
      <c r="D12" t="s">
        <v>37</v>
      </c>
      <c r="F12" s="113" t="str">
        <f>'Google Ads'!A12</f>
        <v>Conversion rate</v>
      </c>
      <c r="H12" s="113" t="str">
        <f>'Social Media'!A11</f>
        <v>Conversion Rate</v>
      </c>
      <c r="J12" t="str">
        <f>'Google Analytics'!A12</f>
        <v>Paid Search CPC</v>
      </c>
      <c r="L12" s="150" t="s">
        <v>14</v>
      </c>
      <c r="M12" s="148">
        <v>772</v>
      </c>
      <c r="N12" s="149">
        <f t="shared" si="0"/>
        <v>3600</v>
      </c>
      <c r="O12" s="144">
        <v>12</v>
      </c>
    </row>
    <row r="13" spans="1:16" x14ac:dyDescent="0.25">
      <c r="D13" t="s">
        <v>38</v>
      </c>
      <c r="F13" s="113" t="str">
        <f>'Google Ads'!A13</f>
        <v>Cost per conversion</v>
      </c>
      <c r="H13" s="113" t="str">
        <f>'Social Media'!A12</f>
        <v>Cost Per Convertion</v>
      </c>
      <c r="J13" t="str">
        <f>'Google Analytics'!A13</f>
        <v>Direct Traffic</v>
      </c>
      <c r="L13" s="150" t="s">
        <v>8</v>
      </c>
      <c r="M13" s="148">
        <f>VLOOKUP(L13,AnalyticsTABLE,14,0)</f>
        <v>435</v>
      </c>
      <c r="N13" s="149">
        <f t="shared" si="0"/>
        <v>2700</v>
      </c>
      <c r="O13" s="144">
        <v>9</v>
      </c>
    </row>
    <row r="14" spans="1:16" x14ac:dyDescent="0.25">
      <c r="A14" s="2"/>
      <c r="C14" s="5"/>
      <c r="D14" t="s">
        <v>39</v>
      </c>
      <c r="F14" s="113" t="str">
        <f>'Google Ads'!A14</f>
        <v>Avg. CPC</v>
      </c>
      <c r="H14" t="str">
        <f>'Social Media'!A13</f>
        <v>Cost Per Click</v>
      </c>
      <c r="J14" t="str">
        <f>'Google Analytics'!A14</f>
        <v>Referrals</v>
      </c>
      <c r="L14" s="150" t="s">
        <v>54</v>
      </c>
      <c r="M14" s="148">
        <f>VLOOKUP(L14,AnalyticsTABLE,14,0)</f>
        <v>555</v>
      </c>
      <c r="N14" s="149">
        <f t="shared" si="0"/>
        <v>1500</v>
      </c>
      <c r="O14" s="144">
        <v>5</v>
      </c>
    </row>
    <row r="15" spans="1:16" x14ac:dyDescent="0.25">
      <c r="D15" t="s">
        <v>40</v>
      </c>
      <c r="H15" t="str">
        <f>'Social Media'!A14</f>
        <v>Post likes</v>
      </c>
      <c r="J15" t="str">
        <f>'Google Analytics'!A15</f>
        <v>Social media</v>
      </c>
    </row>
    <row r="16" spans="1:16" x14ac:dyDescent="0.25">
      <c r="A16" s="1"/>
      <c r="D16" t="s">
        <v>41</v>
      </c>
      <c r="H16" t="str">
        <f>'Social Media'!A15</f>
        <v>Post engagements</v>
      </c>
      <c r="J16" t="str">
        <f>'Google Analytics'!A16</f>
        <v>Display</v>
      </c>
      <c r="L16" s="4"/>
    </row>
    <row r="17" spans="1:12" x14ac:dyDescent="0.25">
      <c r="A17" s="2"/>
      <c r="B17" s="2"/>
      <c r="C17" s="2"/>
      <c r="D17" t="s">
        <v>42</v>
      </c>
      <c r="J17" t="str">
        <f>'Google Analytics'!A17</f>
        <v>Conversion</v>
      </c>
      <c r="L17" s="4"/>
    </row>
    <row r="18" spans="1:12" x14ac:dyDescent="0.25">
      <c r="D18" t="s">
        <v>43</v>
      </c>
      <c r="L18" s="4"/>
    </row>
    <row r="19" spans="1:12" x14ac:dyDescent="0.25">
      <c r="B19" s="3"/>
      <c r="C19" s="5"/>
      <c r="F19" s="3"/>
      <c r="G19" s="5"/>
      <c r="L19" s="4"/>
    </row>
    <row r="20" spans="1:12" x14ac:dyDescent="0.25">
      <c r="B20" s="3"/>
      <c r="C20" s="5"/>
      <c r="L20" s="4"/>
    </row>
    <row r="21" spans="1:12" x14ac:dyDescent="0.25">
      <c r="A21" s="8"/>
      <c r="B21" s="3"/>
      <c r="C21" s="5"/>
      <c r="L21" s="4"/>
    </row>
    <row r="22" spans="1:12" x14ac:dyDescent="0.25">
      <c r="B22" s="3"/>
      <c r="C22" s="5"/>
      <c r="L22" s="4"/>
    </row>
    <row r="23" spans="1:12" x14ac:dyDescent="0.25">
      <c r="B23" s="3"/>
      <c r="C23" s="5"/>
      <c r="L23" s="4"/>
    </row>
    <row r="24" spans="1:12" x14ac:dyDescent="0.25">
      <c r="C24" s="5"/>
      <c r="L24" s="4"/>
    </row>
    <row r="25" spans="1:12" x14ac:dyDescent="0.25">
      <c r="L25" s="4"/>
    </row>
    <row r="26" spans="1:12" x14ac:dyDescent="0.25">
      <c r="A26" s="1"/>
    </row>
    <row r="27" spans="1:12" x14ac:dyDescent="0.25">
      <c r="B27" s="2"/>
      <c r="C27" s="2"/>
      <c r="D27" s="2"/>
    </row>
    <row r="29" spans="1:12" x14ac:dyDescent="0.25">
      <c r="D29" s="5"/>
    </row>
    <row r="30" spans="1:12" x14ac:dyDescent="0.25">
      <c r="D30" s="5"/>
    </row>
    <row r="31" spans="1:12" x14ac:dyDescent="0.25">
      <c r="D31" s="5"/>
    </row>
    <row r="32" spans="1:12" x14ac:dyDescent="0.25">
      <c r="D32" s="5"/>
    </row>
    <row r="33" spans="4:4" x14ac:dyDescent="0.25">
      <c r="D33" s="5"/>
    </row>
  </sheetData>
  <mergeCells count="2">
    <mergeCell ref="L5:N5"/>
    <mergeCell ref="D4:J4"/>
  </mergeCells>
  <phoneticPr fontId="7" type="noConversion"/>
  <pageMargins left="0.7" right="0.7" top="0.75" bottom="0.75" header="0.3" footer="0.3"/>
  <pageSetup orientation="portrait"/>
  <customProperties>
    <customPr name="LastActive" r:id="rId1"/>
    <customPr name="ORB_SHEETNAME" r:id="rId2"/>
  </customPropertie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Report_x0020_Type xmlns="22857a02-e38e-40b9-b4bc-eefcca5321d4">
      <Value>Dashboard</Value>
    </Report_x0020_Type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4D47F6641B654B80BE864362CE9956" ma:contentTypeVersion="6" ma:contentTypeDescription="Create a new document." ma:contentTypeScope="" ma:versionID="5fe0226c1ee216b577378c6fb0c20822">
  <xsd:schema xmlns:xsd="http://www.w3.org/2001/XMLSchema" xmlns:xs="http://www.w3.org/2001/XMLSchema" xmlns:p="http://schemas.microsoft.com/office/2006/metadata/properties" xmlns:ns1="http://schemas.microsoft.com/sharepoint/v3" xmlns:ns2="22857a02-e38e-40b9-b4bc-eefcca5321d4" targetNamespace="http://schemas.microsoft.com/office/2006/metadata/properties" ma:root="true" ma:fieldsID="f18c71d59ca37ca46a3e7b42d5f84a93" ns1:_="" ns2:_="">
    <xsd:import namespace="http://schemas.microsoft.com/sharepoint/v3"/>
    <xsd:import namespace="22857a02-e38e-40b9-b4bc-eefcca5321d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Repor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57a02-e38e-40b9-b4bc-eefcca5321d4" elementFormDefault="qualified">
    <xsd:import namespace="http://schemas.microsoft.com/office/2006/documentManagement/types"/>
    <xsd:import namespace="http://schemas.microsoft.com/office/infopath/2007/PartnerControls"/>
    <xsd:element name="Report_x0020_Type" ma:index="13" nillable="true" ma:displayName="Report Type" ma:default="Dashboard" ma:internalName="Repor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ard"/>
                    <xsd:enumeration value="Dashboard"/>
                    <xsd:enumeration value="Email"/>
                    <xsd:enumeration value="Mobile"/>
                    <xsd:enumeration value="Social"/>
                    <xsd:enumeration value="Web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5335A-F0D7-44F9-AAEA-9E6AFBE14315}">
  <ds:schemaRefs>
    <ds:schemaRef ds:uri="22857a02-e38e-40b9-b4bc-eefcca5321d4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5CD0DF-EDED-4522-9977-33BB65D9C8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B9F72-64F9-4B1B-A57C-FA222B2FD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857a02-e38e-40b9-b4bc-eefcca5321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38</vt:i4>
      </vt:variant>
    </vt:vector>
  </HeadingPairs>
  <TitlesOfParts>
    <vt:vector size="44" baseType="lpstr">
      <vt:lpstr>ALLMedia</vt:lpstr>
      <vt:lpstr>Google Ads</vt:lpstr>
      <vt:lpstr>Social Media</vt:lpstr>
      <vt:lpstr>Google Analytics</vt:lpstr>
      <vt:lpstr>EarnedMedia</vt:lpstr>
      <vt:lpstr>YOY</vt:lpstr>
      <vt:lpstr>adwords</vt:lpstr>
      <vt:lpstr>AdwordsTable</vt:lpstr>
      <vt:lpstr>Analytics</vt:lpstr>
      <vt:lpstr>Analytics_lookup</vt:lpstr>
      <vt:lpstr>Analytics_MonthsROW</vt:lpstr>
      <vt:lpstr>AnalyticsTABLE</vt:lpstr>
      <vt:lpstr>FacebookTABLE</vt:lpstr>
      <vt:lpstr>InstagramTABLE</vt:lpstr>
      <vt:lpstr>Months</vt:lpstr>
      <vt:lpstr>NetworkDisplayTABLE</vt:lpstr>
      <vt:lpstr>ORB_V1_sh10_130506052716394</vt:lpstr>
      <vt:lpstr>ORB_V1_sh10_130506052716409</vt:lpstr>
      <vt:lpstr>ORB_V1_sh10_130506052747531</vt:lpstr>
      <vt:lpstr>ORB_V1_sh10_130506053551412</vt:lpstr>
      <vt:lpstr>ORB_V1_sh10_130506053651084</vt:lpstr>
      <vt:lpstr>ORB_V1_sh10_130506053651099</vt:lpstr>
      <vt:lpstr>ORB_V1_sh10_130506095310431</vt:lpstr>
      <vt:lpstr>ORB_V1_sh10_130506095336148</vt:lpstr>
      <vt:lpstr>ORB_V1_sh10_130506095336163</vt:lpstr>
      <vt:lpstr>ORB_V1_sh10_130506100406594</vt:lpstr>
      <vt:lpstr>ORB_V1_sh10_130506100409121</vt:lpstr>
      <vt:lpstr>ORB_V1_sh10_130506100409137</vt:lpstr>
      <vt:lpstr>ORB_V1_sh10_130506100951289</vt:lpstr>
      <vt:lpstr>ORB_V1_sh10_130506100953957</vt:lpstr>
      <vt:lpstr>ORB_V1_sh10_130506100953972</vt:lpstr>
      <vt:lpstr>ORB_V1_sh10_130506101028201</vt:lpstr>
      <vt:lpstr>ORB_V1_sh10_130506101030775</vt:lpstr>
      <vt:lpstr>ORB_V1_sh10_130506101030791</vt:lpstr>
      <vt:lpstr>ORB_V1_sh10_130506102312540</vt:lpstr>
      <vt:lpstr>ORB_V1_sh10_130506102318562</vt:lpstr>
      <vt:lpstr>ORB_V1_sh10_130506102318578</vt:lpstr>
      <vt:lpstr>ALLMedia!Print_Area</vt:lpstr>
      <vt:lpstr>EarnedMedia!Print_Area</vt:lpstr>
      <vt:lpstr>'Google Ads'!Print_Area</vt:lpstr>
      <vt:lpstr>'Google Analytics'!Print_Area</vt:lpstr>
      <vt:lpstr>'Social Media'!Print_Area</vt:lpstr>
      <vt:lpstr>socialMedia</vt:lpstr>
      <vt:lpstr>socialMediaTABLE</vt:lpstr>
    </vt:vector>
  </TitlesOfParts>
  <Company>ALSAC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C:\Users\pfeiffert\Desktop\MediaDashboard.xlsx</dc:title>
  <dc:creator>Tina Pfeiffer</dc:creator>
  <cp:lastModifiedBy>Jader09</cp:lastModifiedBy>
  <cp:lastPrinted>2017-07-05T22:23:29Z</cp:lastPrinted>
  <dcterms:created xsi:type="dcterms:W3CDTF">2013-04-12T19:23:43Z</dcterms:created>
  <dcterms:modified xsi:type="dcterms:W3CDTF">2017-07-05T22:24:23Z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B_ReportType">
    <vt:lpwstr>rfloating</vt:lpwstr>
  </property>
  <property fmtid="{D5CDD505-2E9C-101B-9397-08002B2CF9AE}" pid="3" name="ContentTypeId">
    <vt:lpwstr>0x0101005C4D47F6641B654B80BE864362CE9956</vt:lpwstr>
  </property>
</Properties>
</file>