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Jon\OneDrive\Documents\AMHF\Foundation documents\Fnd reference materials\AMHF Annual Reports\AMHF Impact Assessments\"/>
    </mc:Choice>
  </mc:AlternateContent>
  <bookViews>
    <workbookView xWindow="0" yWindow="0" windowWidth="28800" windowHeight="13044" tabRatio="627"/>
  </bookViews>
  <sheets>
    <sheet name="2016 Master" sheetId="10" r:id="rId1"/>
    <sheet name="Clinical2016" sheetId="6" r:id="rId2"/>
    <sheet name="INFEQ2016" sheetId="8" r:id="rId3"/>
    <sheet name="MEDTR2016" sheetId="1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0" l="1"/>
  <c r="C8" i="10"/>
  <c r="M18" i="11" l="1"/>
  <c r="I18" i="11" l="1"/>
  <c r="J18" i="11"/>
  <c r="N18" i="11" l="1"/>
  <c r="M5" i="11" l="1"/>
  <c r="O5" i="11" s="1"/>
  <c r="N5" i="11"/>
  <c r="N4" i="11"/>
  <c r="M19" i="11" l="1"/>
  <c r="M8" i="11"/>
  <c r="N7" i="11"/>
  <c r="O7" i="11" s="1"/>
  <c r="M2" i="11"/>
  <c r="G11" i="8" l="1"/>
  <c r="I27" i="6"/>
  <c r="K27" i="6" l="1"/>
  <c r="M12" i="11"/>
  <c r="Q5" i="11"/>
  <c r="N6" i="11"/>
  <c r="O6" i="11" s="1"/>
  <c r="Q20" i="11"/>
  <c r="N20" i="11"/>
  <c r="Q3" i="11"/>
  <c r="O3" i="11"/>
  <c r="Q11" i="11"/>
  <c r="Q10" i="11"/>
  <c r="Q6" i="11"/>
  <c r="Q8" i="11"/>
  <c r="N8" i="11"/>
  <c r="P8" i="11" s="1"/>
  <c r="S5" i="11"/>
  <c r="M4" i="11"/>
  <c r="O4" i="11" s="1"/>
  <c r="M20" i="11"/>
  <c r="Q19" i="11"/>
  <c r="N19" i="11"/>
  <c r="P19" i="11" s="1"/>
  <c r="Q18" i="11"/>
  <c r="P18" i="11"/>
  <c r="O18" i="11"/>
  <c r="Q16" i="11"/>
  <c r="M16" i="11"/>
  <c r="M15" i="11"/>
  <c r="Q15" i="11"/>
  <c r="M14" i="11"/>
  <c r="K14" i="11"/>
  <c r="Q14" i="11" s="1"/>
  <c r="N14" i="11"/>
  <c r="N13" i="11"/>
  <c r="M13" i="11"/>
  <c r="K13" i="11"/>
  <c r="Q13" i="11" s="1"/>
  <c r="Q12" i="11"/>
  <c r="N12" i="11"/>
  <c r="P12" i="11" s="1"/>
  <c r="N11" i="11"/>
  <c r="P11" i="11" s="1"/>
  <c r="M11" i="11"/>
  <c r="N10" i="11"/>
  <c r="P10" i="11" s="1"/>
  <c r="M10" i="11"/>
  <c r="Q9" i="11"/>
  <c r="N9" i="11"/>
  <c r="P9" i="11" s="1"/>
  <c r="M9" i="11"/>
  <c r="Q4" i="11"/>
  <c r="P4" i="11"/>
  <c r="R3" i="11"/>
  <c r="M3" i="11"/>
  <c r="Q2" i="11"/>
  <c r="N2" i="11"/>
  <c r="P2" i="11" s="1"/>
  <c r="S10" i="11" l="1"/>
  <c r="O8" i="11"/>
  <c r="O10" i="11"/>
  <c r="R8" i="11"/>
  <c r="P6" i="11"/>
  <c r="S6" i="11" s="1"/>
  <c r="S21" i="11" s="1"/>
  <c r="D8" i="10" s="1"/>
  <c r="R18" i="11"/>
  <c r="R11" i="11"/>
  <c r="R9" i="11"/>
  <c r="O11" i="11"/>
  <c r="R2" i="11"/>
  <c r="R19" i="11"/>
  <c r="R12" i="11"/>
  <c r="O19" i="11"/>
  <c r="N3" i="11"/>
  <c r="P3" i="11" s="1"/>
  <c r="O12" i="11"/>
  <c r="N15" i="11"/>
  <c r="P15" i="11" s="1"/>
  <c r="R15" i="11" s="1"/>
  <c r="P13" i="11"/>
  <c r="R13" i="11" s="1"/>
  <c r="N16" i="11"/>
  <c r="O2" i="11"/>
  <c r="R4" i="11"/>
  <c r="O14" i="11"/>
  <c r="O9" i="11"/>
  <c r="P14" i="11"/>
  <c r="R14" i="11" s="1"/>
  <c r="N17" i="11"/>
  <c r="O17" i="11" s="1"/>
  <c r="Q17" i="11"/>
  <c r="P20" i="11"/>
  <c r="R20" i="11" s="1"/>
  <c r="O13" i="11"/>
  <c r="O15" i="11" l="1"/>
  <c r="O20" i="11"/>
  <c r="P16" i="11"/>
  <c r="R16" i="11" s="1"/>
  <c r="R21" i="11" s="1"/>
  <c r="O16" i="11"/>
  <c r="P17" i="11"/>
  <c r="R17" i="11" s="1"/>
  <c r="O21" i="11" l="1"/>
  <c r="P21" i="11"/>
  <c r="K7" i="8" l="1"/>
  <c r="K25" i="6"/>
  <c r="I31" i="6" l="1"/>
  <c r="J9" i="8"/>
  <c r="H9" i="8"/>
  <c r="L9" i="8" s="1"/>
  <c r="K9" i="8" s="1"/>
  <c r="K11" i="6"/>
  <c r="F15" i="6"/>
  <c r="F6" i="6"/>
  <c r="G6" i="6"/>
  <c r="K7" i="6"/>
  <c r="J7" i="6"/>
  <c r="J12" i="6" l="1"/>
  <c r="H12" i="6"/>
  <c r="M12" i="6" s="1"/>
  <c r="K12" i="6" l="1"/>
  <c r="G11" i="6"/>
  <c r="G10" i="6"/>
  <c r="F10" i="6" s="1"/>
  <c r="J10" i="6" s="1"/>
  <c r="H10" i="6"/>
  <c r="K10" i="6" s="1"/>
  <c r="J11" i="6" l="1"/>
  <c r="M10" i="6"/>
  <c r="J6" i="6"/>
  <c r="F5" i="8" l="1"/>
  <c r="F6" i="8"/>
  <c r="F4" i="8"/>
  <c r="J4" i="8" s="1"/>
  <c r="M5" i="6"/>
  <c r="K5" i="6"/>
  <c r="H15" i="6"/>
  <c r="M15" i="6" s="1"/>
  <c r="F9" i="6"/>
  <c r="M9" i="6" s="1"/>
  <c r="G9" i="6"/>
  <c r="G8" i="6"/>
  <c r="F8" i="6"/>
  <c r="M8" i="6" s="1"/>
  <c r="M24" i="6"/>
  <c r="J24" i="6"/>
  <c r="K24" i="6" s="1"/>
  <c r="M3" i="6"/>
  <c r="F13" i="6"/>
  <c r="H13" i="6"/>
  <c r="F14" i="6"/>
  <c r="I14" i="6"/>
  <c r="G15" i="6"/>
  <c r="J15" i="6" s="1"/>
  <c r="G13" i="6"/>
  <c r="G14" i="6"/>
  <c r="M26" i="6"/>
  <c r="K26" i="6"/>
  <c r="J26" i="6"/>
  <c r="M25" i="6"/>
  <c r="H10" i="8"/>
  <c r="L10" i="8" s="1"/>
  <c r="K10" i="8" s="1"/>
  <c r="J10" i="8"/>
  <c r="M23" i="6"/>
  <c r="J23" i="6"/>
  <c r="K23" i="6" s="1"/>
  <c r="G22" i="6"/>
  <c r="G21" i="6"/>
  <c r="G20" i="6"/>
  <c r="G19" i="6"/>
  <c r="F18" i="6"/>
  <c r="G18" i="6" s="1"/>
  <c r="G16" i="6"/>
  <c r="K20" i="6"/>
  <c r="K21" i="6"/>
  <c r="K19" i="6"/>
  <c r="K18" i="6"/>
  <c r="H7" i="8"/>
  <c r="H8" i="8"/>
  <c r="L8" i="8" s="1"/>
  <c r="K8" i="8" s="1"/>
  <c r="J8" i="8"/>
  <c r="K3" i="6"/>
  <c r="J3" i="6"/>
  <c r="J5" i="6"/>
  <c r="M6" i="6"/>
  <c r="K6" i="6"/>
  <c r="M4" i="6"/>
  <c r="J4" i="6"/>
  <c r="K4" i="6" s="1"/>
  <c r="H5" i="8"/>
  <c r="L5" i="8" s="1"/>
  <c r="H6" i="8"/>
  <c r="J5" i="8"/>
  <c r="L3" i="8"/>
  <c r="J3" i="8"/>
  <c r="K3" i="8" s="1"/>
  <c r="I28" i="6" l="1"/>
  <c r="D6" i="10" s="1"/>
  <c r="D9" i="10" s="1"/>
  <c r="K5" i="8"/>
  <c r="L4" i="8"/>
  <c r="K4" i="8" s="1"/>
  <c r="L6" i="8"/>
  <c r="K6" i="8" s="1"/>
  <c r="M14" i="6"/>
  <c r="K14" i="6"/>
  <c r="J14" i="6"/>
  <c r="K8" i="6"/>
  <c r="M13" i="6"/>
  <c r="K15" i="6"/>
  <c r="F17" i="6"/>
  <c r="G17" i="6" s="1"/>
  <c r="J9" i="6"/>
  <c r="J8" i="6"/>
  <c r="K13" i="6"/>
  <c r="J6" i="8"/>
  <c r="K9" i="6"/>
  <c r="K31" i="6" l="1"/>
  <c r="K28" i="6"/>
  <c r="C6" i="10" s="1"/>
  <c r="K11" i="8"/>
  <c r="C7" i="10" s="1"/>
  <c r="D15" i="10" l="1"/>
  <c r="C9" i="10"/>
</calcChain>
</file>

<file path=xl/comments1.xml><?xml version="1.0" encoding="utf-8"?>
<comments xmlns="http://schemas.openxmlformats.org/spreadsheetml/2006/main">
  <authors>
    <author>Kenneth Miriti</author>
    <author>Jon Fielder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Based on Cathy end of year stats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Email comment from Deng on jan 2017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From Sabet expense report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200,000 USD emergency supplies order; 36130.79 + 10000 USD for salaries, + Catena's salary, which must be added to budget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See the AMHF 2016 beneficiaries sheet, which includes IP + OP but exclude ORP, which we don't fund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sent to CMMB = $299,519
Minus amount for Nzara proper = $79,000
Note it is $79,000, not $78,000 as per the narrative report.
Minus balance end 2016 = $87,761
Total spent by CMMB on above visits = $132,758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sent to CMMB = $299,519
Minus amount for Nzara proper = $79,000
Note it is $79,000, not $78,000 as per the narrative report.
Minus balance end 2016 = $87,761
Total spent by CMMB on above visits = $132,758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Based on 2017 grant renewal document from Jill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Based on 2017 grant renewal document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Must be added to budget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AMHF 2016 admin budget is $66,382.19 Admin budget per patient is $56.35 (incl 10% Jon time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AMHF 2016 admin budget is $66,382.19 Admin budget per patient is $56.35 (incl 10% Jon time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AMHF 2016 admin budget is $66,382.19 Admin budget per patient is $56.35 (incl 10% Jon time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AMHF 2016 admin budget is $66,382.19 Admin budget per patient is $56.35 (incl 10% Jon time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AMHF 2016 admin budget is $66,382.19 Admin budget per patient is $56.35 (incl 10% Jon time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AMHF 2016 admin budget is $66,382.19 Admin budget per patient is $56.35 (incl 10% Jon time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Total AMHF 2016 admin budget is $66,382.19 Admin budget per patient is $56.35 (incl 10% Jon time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Estimated midpoint of 2015 and 2017 budget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Used estimated number from budget since data on output against expenses is not available</t>
        </r>
      </text>
    </comment>
    <comment ref="L25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Cost to save one life in ALMC NICU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based on 2015 report</t>
        </r>
      </text>
    </comment>
  </commentList>
</comments>
</file>

<file path=xl/comments2.xml><?xml version="1.0" encoding="utf-8"?>
<comments xmlns="http://schemas.openxmlformats.org/spreadsheetml/2006/main">
  <authors>
    <author>Kenneth Miriti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Adjusted for salary support from MOH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Estimated midpoint of 2015 and 2017 budget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Estimated midpoint of 2015 and 2017 budget</t>
        </r>
      </text>
    </comment>
  </commentList>
</comments>
</file>

<file path=xl/comments3.xml><?xml version="1.0" encoding="utf-8"?>
<comments xmlns="http://schemas.openxmlformats.org/spreadsheetml/2006/main">
  <authors>
    <author>Kenneth Miriti</author>
    <author>Jon Fielder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8 students, but one died in first year</t>
        </r>
      </text>
    </comment>
    <comment ref="M4" authorId="1" shapeId="0">
      <text>
        <r>
          <rPr>
            <b/>
            <sz val="9"/>
            <color indexed="81"/>
            <rFont val="Tahoma"/>
            <charset val="1"/>
          </rPr>
          <t>Jon Fielder:</t>
        </r>
        <r>
          <rPr>
            <sz val="9"/>
            <color indexed="81"/>
            <rFont val="Tahoma"/>
            <charset val="1"/>
          </rPr>
          <t xml:space="preserve">
10 years instead of 20 because this cohort older</t>
        </r>
      </text>
    </comment>
    <comment ref="M5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Training ended after 2 years for lack of competence.  8*220*20: assist in clinic and theater.  8 because he completed 40% of training nad will now only assist.
</t>
        </r>
      </text>
    </comment>
    <comment ref="M6" authorId="0" shapeId="0">
      <text>
        <r>
          <rPr>
            <b/>
            <sz val="9"/>
            <color indexed="81"/>
            <rFont val="Tahoma"/>
            <charset val="1"/>
          </rPr>
          <t>Kenneth Miriti:</t>
        </r>
        <r>
          <rPr>
            <sz val="9"/>
            <color indexed="81"/>
            <rFont val="Tahoma"/>
            <charset val="1"/>
          </rPr>
          <t xml:space="preserve">
will do 500 surgeries per year for 20 years.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Bruce Steffes uses 100,000 consult figure but we should not use a figure higher than our CO, MO, nurse figure</t>
        </r>
      </text>
    </comment>
    <comment ref="M8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Initial estimate too high.  Assume conservatively 200 per year.  See here http://allafrica.com/stories/201704110029.html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will do 500 chemothereapy per year for 20 years.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Kenneth Miriti:</t>
        </r>
        <r>
          <rPr>
            <sz val="9"/>
            <color indexed="81"/>
            <rFont val="Tahoma"/>
            <family val="2"/>
          </rPr>
          <t xml:space="preserve">
will do 10 patient with cancer per day * 220 year * 20</t>
        </r>
      </text>
    </comment>
    <comment ref="M19" authorId="1" shapeId="0">
      <text>
        <r>
          <rPr>
            <b/>
            <sz val="9"/>
            <color indexed="81"/>
            <rFont val="Tahoma"/>
            <family val="2"/>
          </rPr>
          <t>Jon Fielder:</t>
        </r>
        <r>
          <rPr>
            <sz val="9"/>
            <color indexed="81"/>
            <rFont val="Tahoma"/>
            <family val="2"/>
          </rPr>
          <t xml:space="preserve">
Assume NHITC impact (marginal training for already trained professional) over longer period.</t>
        </r>
      </text>
    </comment>
  </commentList>
</comments>
</file>

<file path=xl/sharedStrings.xml><?xml version="1.0" encoding="utf-8"?>
<sst xmlns="http://schemas.openxmlformats.org/spreadsheetml/2006/main" count="365" uniqueCount="196">
  <si>
    <t>Partner</t>
  </si>
  <si>
    <t>GMC-Doro</t>
  </si>
  <si>
    <t>Location</t>
  </si>
  <si>
    <t>Upper Nile State</t>
  </si>
  <si>
    <t>Country</t>
  </si>
  <si>
    <t>South Sudan</t>
  </si>
  <si>
    <t>Impact Category</t>
  </si>
  <si>
    <t>Direct Clinical Care</t>
  </si>
  <si>
    <t>Meaning</t>
  </si>
  <si>
    <t>AMHF IMPACT SUMMARY: 2015</t>
  </si>
  <si>
    <t>AMHF Direct Attributable Impact</t>
  </si>
  <si>
    <t xml:space="preserve">Bor County, Jonglei State, </t>
  </si>
  <si>
    <t>Cost of care per patient</t>
  </si>
  <si>
    <t>IDAT</t>
  </si>
  <si>
    <t xml:space="preserve">Tonj </t>
  </si>
  <si>
    <t>Number of patient visits supported by AMHF</t>
  </si>
  <si>
    <t>Nuba Mountains</t>
  </si>
  <si>
    <t>AMHF Prop of total budget</t>
  </si>
  <si>
    <t>MCH-PCC</t>
  </si>
  <si>
    <t>Others</t>
  </si>
  <si>
    <t>MOM-Gidel-DoE</t>
  </si>
  <si>
    <t>WGM</t>
  </si>
  <si>
    <t>Surgeries</t>
  </si>
  <si>
    <t>CMMB</t>
  </si>
  <si>
    <t>Western Equatorial</t>
  </si>
  <si>
    <t>Sudan Medical Relief</t>
  </si>
  <si>
    <t>Jonglei State</t>
  </si>
  <si>
    <t>Equipment</t>
  </si>
  <si>
    <t>Kenya</t>
  </si>
  <si>
    <t>CURE Clubfoot</t>
  </si>
  <si>
    <t>Kiambu-Kijabe</t>
  </si>
  <si>
    <t xml:space="preserve">Tenotomy procedures. </t>
  </si>
  <si>
    <t>Mutomo Hospital</t>
  </si>
  <si>
    <t>Mapuordit Hospital</t>
  </si>
  <si>
    <t>Kitui</t>
  </si>
  <si>
    <t>Kenya 2015</t>
  </si>
  <si>
    <t>Kenya 2016</t>
  </si>
  <si>
    <t>X-ray repair, processor</t>
  </si>
  <si>
    <t>Written to Sr. Mary to get information on patient volumes</t>
  </si>
  <si>
    <t>Watsi-Nazareth</t>
  </si>
  <si>
    <t>Tanzania</t>
  </si>
  <si>
    <t>Watsi-ALMC</t>
  </si>
  <si>
    <t>Uganda</t>
  </si>
  <si>
    <t>Watsi-Virika</t>
  </si>
  <si>
    <t>Watsi-Nyakibale</t>
  </si>
  <si>
    <t>Watsi-BKMCM</t>
  </si>
  <si>
    <t>Watsi-KH</t>
  </si>
  <si>
    <t>Ethiopia</t>
  </si>
  <si>
    <t>Kiambu-Nazareth</t>
  </si>
  <si>
    <t>Arusha</t>
  </si>
  <si>
    <t>Watsi-BKKH</t>
  </si>
  <si>
    <t>Nyakibale</t>
  </si>
  <si>
    <t>Werkok/Yei</t>
  </si>
  <si>
    <t>Estimated cost of care per patient</t>
  </si>
  <si>
    <t>Surgery /corrective procedure</t>
  </si>
  <si>
    <t>Procedures</t>
  </si>
  <si>
    <t>Rumbek</t>
  </si>
  <si>
    <t>Purchase of the ventilator</t>
  </si>
  <si>
    <t>Using replacement method, 671 patient care was supported by AMHF funding</t>
  </si>
  <si>
    <t>Uganda 2016</t>
  </si>
  <si>
    <t>Malawi</t>
  </si>
  <si>
    <t>Kindle Orphan Outreach</t>
  </si>
  <si>
    <t>PIH</t>
  </si>
  <si>
    <t>Lilongwe</t>
  </si>
  <si>
    <t>Katawa</t>
  </si>
  <si>
    <t>MMH</t>
  </si>
  <si>
    <t>Grant Year</t>
  </si>
  <si>
    <t>Used grant application information filled by Deng for 2017</t>
  </si>
  <si>
    <t>Grant year</t>
  </si>
  <si>
    <t>Patients visits, does not include counseling sessions</t>
  </si>
  <si>
    <t>AIC-KH-Marira</t>
  </si>
  <si>
    <t>Autoclave, Biochem</t>
  </si>
  <si>
    <t>Maua-Meru</t>
  </si>
  <si>
    <t>C-arm, UPS</t>
  </si>
  <si>
    <t>Infrastructure-Solar</t>
  </si>
  <si>
    <t>Malawi 2016</t>
  </si>
  <si>
    <t>ALMC</t>
  </si>
  <si>
    <t>Direct Clinical Care-NICU</t>
  </si>
  <si>
    <t>Direct Clinical Care-Loan</t>
  </si>
  <si>
    <t>Hospital Total Expenses</t>
  </si>
  <si>
    <t>AMHF Direct Grant</t>
  </si>
  <si>
    <t>Hospt Patient visit</t>
  </si>
  <si>
    <t>Notes-Data 2</t>
  </si>
  <si>
    <t>Notes on site ouput data 3</t>
  </si>
  <si>
    <t>Hospt Total Expenses</t>
  </si>
  <si>
    <t>Calculated Cost of care per patient</t>
  </si>
  <si>
    <t>AMHF IMPACT SUMMARY: 2015/2016</t>
  </si>
  <si>
    <t xml:space="preserve">Using the 2017 PIH Moyo budget of $404,000, subtracting 15%, to get $343,400, for an estimated 2016 HIV clinic budget.  Then dividing 343,400 / 29172 = 11.77 USD per visit. </t>
  </si>
  <si>
    <t>Surgeries perfomed via CMMB</t>
  </si>
  <si>
    <t>Total sent to CMMB = $299,519, minus Nzara and Balance</t>
  </si>
  <si>
    <t>Direct Clinical Care (relief)</t>
  </si>
  <si>
    <t>Hospt + OPD visits</t>
  </si>
  <si>
    <t>Total</t>
  </si>
  <si>
    <t>--</t>
  </si>
  <si>
    <t>INFEQ-Clinic renovation</t>
  </si>
  <si>
    <t>AMHF</t>
  </si>
  <si>
    <t>Impact Assement</t>
  </si>
  <si>
    <t>Visits based on direct clinical care support</t>
  </si>
  <si>
    <t>and INFEQ replacement costing</t>
  </si>
  <si>
    <t>Category</t>
  </si>
  <si>
    <t>Direct clinical care</t>
  </si>
  <si>
    <t>INFEQ</t>
  </si>
  <si>
    <t>Surgeries + Corrective Procedures</t>
  </si>
  <si>
    <t>Total patient visits*</t>
  </si>
  <si>
    <t>* Includes surgeries and correct procedures</t>
  </si>
  <si>
    <t>Sub-Total</t>
  </si>
  <si>
    <t>Cohort Name/  Year began training</t>
  </si>
  <si>
    <t>Region</t>
  </si>
  <si>
    <t>Impact Country</t>
  </si>
  <si>
    <t>Attribution Method</t>
  </si>
  <si>
    <t>Funding Year</t>
  </si>
  <si>
    <t>Training Location</t>
  </si>
  <si>
    <t>Comprehensive training budget to completion</t>
  </si>
  <si>
    <t>AMHF Grant -Direct Contribution</t>
  </si>
  <si>
    <t>Output impact expected (220 days / year X 20 years)</t>
  </si>
  <si>
    <t>AMHF Prop. of total budget</t>
  </si>
  <si>
    <t>AMHF Direct patient visit Impact</t>
  </si>
  <si>
    <t>Student equivalent supported by AMHF</t>
  </si>
  <si>
    <t>Cost of care per trainee</t>
  </si>
  <si>
    <t>Annual contribution to patient care</t>
  </si>
  <si>
    <t>South Sudan Gidel-2015</t>
  </si>
  <si>
    <t>Africa</t>
  </si>
  <si>
    <t>2015 Cohort</t>
  </si>
  <si>
    <t>DOE-Gidel</t>
  </si>
  <si>
    <t>Kajo-Keji Students</t>
  </si>
  <si>
    <t>Students Support</t>
  </si>
  <si>
    <t>Students supported at Kajo-Keji, patient to be seen in the lifetime of the student. See Gidel sheet</t>
  </si>
  <si>
    <t>Cohort</t>
  </si>
  <si>
    <t>3 deliveries/day</t>
  </si>
  <si>
    <t>KH/NH/MMH-CT&amp;M</t>
  </si>
  <si>
    <t>Kiambu/Maua</t>
  </si>
  <si>
    <t>1 pt improved</t>
  </si>
  <si>
    <t>Assumption: HIV care providers:  1 improved or possible / day X 220 days / year X 2 years, since many clinicians move on, or guidelines change.</t>
  </si>
  <si>
    <t>Kenya HIV/TB 2016</t>
  </si>
  <si>
    <t>ALMC-AMO</t>
  </si>
  <si>
    <t>Arusha-Tanzania</t>
  </si>
  <si>
    <t>Pts helped</t>
  </si>
  <si>
    <t>We use 10 years rather than 20 to project impact here bcs some of the students are older and won’t practice as long</t>
  </si>
  <si>
    <t>ALMC AMO 2014</t>
  </si>
  <si>
    <t>7 student enrolled in 2014, no new class in 2015, group completed 2016</t>
  </si>
  <si>
    <t>PAACS</t>
  </si>
  <si>
    <t>Surgeon Training</t>
  </si>
  <si>
    <t>US-Based 2016</t>
  </si>
  <si>
    <t>Uganda 2015</t>
  </si>
  <si>
    <t>Nyakibale Hospital</t>
  </si>
  <si>
    <t>Makere University</t>
  </si>
  <si>
    <t>Midwives Training</t>
  </si>
  <si>
    <t>5 midwives supported through 2016 grant re-adjustment. Need to get details from Dr. Julius</t>
  </si>
  <si>
    <t>Rolling 2011-2017</t>
  </si>
  <si>
    <t>Banyatereza</t>
  </si>
  <si>
    <t>Virika Fort Portal</t>
  </si>
  <si>
    <t>Training 20 HCW</t>
  </si>
  <si>
    <t>Cameroon</t>
  </si>
  <si>
    <t>Cohort 2015</t>
  </si>
  <si>
    <t>Mbingo Baptist Hospital</t>
  </si>
  <si>
    <t>500 Cancer pts/yr</t>
  </si>
  <si>
    <t>Can treat over 500 cancer pts in a year</t>
  </si>
  <si>
    <t>Cameroon 2016</t>
  </si>
  <si>
    <t>10 consults/day</t>
  </si>
  <si>
    <t>Will consult additional 10 pts per day, but half the total period in a year due to chemo days</t>
  </si>
  <si>
    <t xml:space="preserve">Rolling </t>
  </si>
  <si>
    <t>Jacob was added in 2016 henceforth, full, but picked from third year</t>
  </si>
  <si>
    <t>PUEA 2016</t>
  </si>
  <si>
    <t>IDAT+Jacob</t>
  </si>
  <si>
    <t>KeMU (CO, Pharm Kocho) 2014</t>
  </si>
  <si>
    <t>2014/15 Cohort</t>
  </si>
  <si>
    <t>Various</t>
  </si>
  <si>
    <t>KeMU-Doctors 2016</t>
  </si>
  <si>
    <t>KeMU 2016 cohort</t>
  </si>
  <si>
    <t>consultation</t>
  </si>
  <si>
    <t>Emmanuel Akol, Magar Deng, David Maluuk, Natale Andrew, Emanuel Malook</t>
  </si>
  <si>
    <t>KIU 2015</t>
  </si>
  <si>
    <t>one CO added in 2016</t>
  </si>
  <si>
    <t>KSMST 2016</t>
  </si>
  <si>
    <t>2016 Chohort</t>
  </si>
  <si>
    <t>20 pts /day</t>
  </si>
  <si>
    <t>Chohort</t>
  </si>
  <si>
    <t>MMH-CO-Eye 2016</t>
  </si>
  <si>
    <t>MMH-Nurse-eye 2016</t>
  </si>
  <si>
    <t>Malawi-Levison 2016</t>
  </si>
  <si>
    <t>Surgeon Training-consult</t>
  </si>
  <si>
    <t>HIV and TB clinical training using the Kenya guidelines. Assuming only 90% are retained each year</t>
  </si>
  <si>
    <t>MEDTR</t>
  </si>
  <si>
    <t>Annual contribution to procedures</t>
  </si>
  <si>
    <t>Mbingo Oncology consult</t>
  </si>
  <si>
    <t>308 students trained</t>
  </si>
  <si>
    <t>Burundi</t>
  </si>
  <si>
    <t>Kibuye</t>
  </si>
  <si>
    <t>181 + 260 USD per case</t>
  </si>
  <si>
    <t>Sudan</t>
  </si>
  <si>
    <t>Mbingo Oncology chemo</t>
  </si>
  <si>
    <t>Surgeon Training--assist only</t>
  </si>
  <si>
    <t>Visits attended over lifetime</t>
  </si>
  <si>
    <t>Number trained</t>
  </si>
  <si>
    <t>Cohort (entire incl 2009)</t>
  </si>
  <si>
    <t>USD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</si>
</sst>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2" xfId="1" applyNumberFormat="1" applyFont="1" applyBorder="1"/>
    <xf numFmtId="164" fontId="0" fillId="2" borderId="2" xfId="0" applyNumberFormat="1" applyFill="1" applyBorder="1"/>
    <xf numFmtId="164" fontId="0" fillId="2" borderId="2" xfId="1" applyFont="1" applyFill="1" applyBorder="1"/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1" xfId="1" applyFont="1" applyBorder="1"/>
    <xf numFmtId="3" fontId="0" fillId="0" borderId="0" xfId="0" applyNumberFormat="1"/>
    <xf numFmtId="0" fontId="6" fillId="0" borderId="0" xfId="0" applyFont="1" applyAlignment="1">
      <alignment wrapText="1"/>
    </xf>
    <xf numFmtId="9" fontId="0" fillId="0" borderId="2" xfId="2" applyFont="1" applyBorder="1"/>
    <xf numFmtId="164" fontId="0" fillId="0" borderId="1" xfId="0" applyNumberFormat="1" applyBorder="1"/>
    <xf numFmtId="0" fontId="0" fillId="3" borderId="2" xfId="0" applyFill="1" applyBorder="1"/>
    <xf numFmtId="0" fontId="0" fillId="3" borderId="1" xfId="0" applyFill="1" applyBorder="1"/>
    <xf numFmtId="9" fontId="0" fillId="3" borderId="2" xfId="2" applyFont="1" applyFill="1" applyBorder="1"/>
    <xf numFmtId="164" fontId="0" fillId="4" borderId="1" xfId="1" applyFont="1" applyFill="1" applyBorder="1"/>
    <xf numFmtId="3" fontId="0" fillId="0" borderId="1" xfId="0" applyNumberFormat="1" applyBorder="1"/>
    <xf numFmtId="165" fontId="0" fillId="0" borderId="2" xfId="1" applyNumberFormat="1" applyFont="1" applyFill="1" applyBorder="1"/>
    <xf numFmtId="0" fontId="0" fillId="0" borderId="1" xfId="0" applyFill="1" applyBorder="1"/>
    <xf numFmtId="164" fontId="0" fillId="0" borderId="1" xfId="1" applyNumberFormat="1" applyFont="1" applyBorder="1"/>
    <xf numFmtId="9" fontId="0" fillId="0" borderId="1" xfId="2" applyFont="1" applyBorder="1"/>
    <xf numFmtId="0" fontId="2" fillId="0" borderId="14" xfId="0" applyFont="1" applyBorder="1" applyAlignment="1">
      <alignment horizontal="center"/>
    </xf>
    <xf numFmtId="165" fontId="6" fillId="0" borderId="0" xfId="1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0" xfId="0" applyFont="1"/>
    <xf numFmtId="4" fontId="8" fillId="0" borderId="0" xfId="0" applyNumberFormat="1" applyFont="1"/>
    <xf numFmtId="164" fontId="0" fillId="0" borderId="2" xfId="1" applyNumberFormat="1" applyFont="1" applyBorder="1"/>
    <xf numFmtId="166" fontId="0" fillId="0" borderId="2" xfId="1" applyNumberFormat="1" applyFont="1" applyBorder="1"/>
    <xf numFmtId="166" fontId="0" fillId="0" borderId="2" xfId="1" applyNumberFormat="1" applyFont="1" applyFill="1" applyBorder="1"/>
    <xf numFmtId="164" fontId="0" fillId="5" borderId="1" xfId="1" applyFont="1" applyFill="1" applyBorder="1"/>
    <xf numFmtId="165" fontId="0" fillId="5" borderId="2" xfId="1" applyNumberFormat="1" applyFont="1" applyFill="1" applyBorder="1"/>
    <xf numFmtId="0" fontId="0" fillId="6" borderId="1" xfId="0" applyFill="1" applyBorder="1"/>
    <xf numFmtId="164" fontId="0" fillId="6" borderId="1" xfId="1" applyFont="1" applyFill="1" applyBorder="1"/>
    <xf numFmtId="0" fontId="0" fillId="0" borderId="18" xfId="0" applyBorder="1"/>
    <xf numFmtId="0" fontId="0" fillId="0" borderId="13" xfId="0" applyBorder="1"/>
    <xf numFmtId="3" fontId="0" fillId="0" borderId="13" xfId="0" applyNumberFormat="1" applyBorder="1"/>
    <xf numFmtId="0" fontId="2" fillId="7" borderId="17" xfId="0" applyFont="1" applyFill="1" applyBorder="1"/>
    <xf numFmtId="3" fontId="0" fillId="2" borderId="2" xfId="1" applyNumberFormat="1" applyFont="1" applyFill="1" applyBorder="1"/>
    <xf numFmtId="3" fontId="0" fillId="0" borderId="1" xfId="1" applyNumberFormat="1" applyFont="1" applyBorder="1"/>
    <xf numFmtId="3" fontId="0" fillId="6" borderId="1" xfId="1" applyNumberFormat="1" applyFont="1" applyFill="1" applyBorder="1"/>
    <xf numFmtId="3" fontId="0" fillId="3" borderId="1" xfId="0" applyNumberFormat="1" applyFill="1" applyBorder="1"/>
    <xf numFmtId="3" fontId="0" fillId="6" borderId="1" xfId="0" applyNumberFormat="1" applyFill="1" applyBorder="1"/>
    <xf numFmtId="0" fontId="0" fillId="7" borderId="0" xfId="0" applyFill="1"/>
    <xf numFmtId="3" fontId="0" fillId="7" borderId="0" xfId="0" applyNumberFormat="1" applyFill="1"/>
    <xf numFmtId="0" fontId="2" fillId="2" borderId="1" xfId="0" applyFont="1" applyFill="1" applyBorder="1"/>
    <xf numFmtId="0" fontId="10" fillId="7" borderId="0" xfId="0" applyFont="1" applyFill="1"/>
    <xf numFmtId="0" fontId="2" fillId="7" borderId="12" xfId="0" applyFont="1" applyFill="1" applyBorder="1"/>
    <xf numFmtId="0" fontId="2" fillId="2" borderId="11" xfId="0" applyFont="1" applyFill="1" applyBorder="1"/>
    <xf numFmtId="165" fontId="2" fillId="7" borderId="17" xfId="0" applyNumberFormat="1" applyFont="1" applyFill="1" applyBorder="1"/>
    <xf numFmtId="0" fontId="2" fillId="2" borderId="23" xfId="0" applyFont="1" applyFill="1" applyBorder="1"/>
    <xf numFmtId="165" fontId="0" fillId="0" borderId="10" xfId="1" applyNumberFormat="1" applyFont="1" applyFill="1" applyBorder="1"/>
    <xf numFmtId="165" fontId="2" fillId="2" borderId="17" xfId="0" applyNumberFormat="1" applyFont="1" applyFill="1" applyBorder="1"/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164" fontId="2" fillId="0" borderId="13" xfId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164" fontId="0" fillId="0" borderId="0" xfId="1" applyFont="1"/>
    <xf numFmtId="0" fontId="7" fillId="0" borderId="0" xfId="0" applyFont="1"/>
    <xf numFmtId="1" fontId="0" fillId="0" borderId="1" xfId="0" applyNumberFormat="1" applyFill="1" applyBorder="1"/>
    <xf numFmtId="0" fontId="0" fillId="4" borderId="1" xfId="0" applyFill="1" applyBorder="1"/>
    <xf numFmtId="0" fontId="12" fillId="0" borderId="1" xfId="0" applyFont="1" applyFill="1" applyBorder="1"/>
    <xf numFmtId="164" fontId="0" fillId="0" borderId="1" xfId="1" applyFont="1" applyFill="1" applyBorder="1"/>
    <xf numFmtId="1" fontId="0" fillId="0" borderId="1" xfId="2" applyNumberFormat="1" applyFont="1" applyBorder="1"/>
    <xf numFmtId="0" fontId="8" fillId="0" borderId="0" xfId="0" applyFont="1"/>
    <xf numFmtId="3" fontId="0" fillId="8" borderId="1" xfId="0" applyNumberFormat="1" applyFill="1" applyBorder="1"/>
    <xf numFmtId="1" fontId="0" fillId="0" borderId="1" xfId="2" applyNumberFormat="1" applyFont="1" applyFill="1" applyBorder="1"/>
    <xf numFmtId="37" fontId="0" fillId="0" borderId="0" xfId="0" applyNumberFormat="1" applyBorder="1"/>
    <xf numFmtId="3" fontId="0" fillId="0" borderId="11" xfId="1" applyNumberFormat="1" applyFont="1" applyBorder="1"/>
    <xf numFmtId="9" fontId="0" fillId="0" borderId="23" xfId="2" applyFont="1" applyBorder="1"/>
    <xf numFmtId="165" fontId="0" fillId="0" borderId="0" xfId="1" applyNumberFormat="1" applyFont="1" applyFill="1" applyBorder="1"/>
    <xf numFmtId="1" fontId="2" fillId="2" borderId="17" xfId="0" applyNumberFormat="1" applyFont="1" applyFill="1" applyBorder="1"/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" xfId="0" applyFont="1" applyBorder="1"/>
    <xf numFmtId="164" fontId="16" fillId="0" borderId="1" xfId="1" applyFont="1" applyBorder="1"/>
    <xf numFmtId="9" fontId="16" fillId="0" borderId="2" xfId="2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8" fillId="0" borderId="0" xfId="0" applyFont="1" applyAlignment="1">
      <alignment wrapText="1"/>
    </xf>
    <xf numFmtId="167" fontId="16" fillId="0" borderId="1" xfId="1" applyNumberFormat="1" applyFont="1" applyBorder="1"/>
    <xf numFmtId="37" fontId="16" fillId="0" borderId="1" xfId="0" applyNumberFormat="1" applyFont="1" applyBorder="1"/>
    <xf numFmtId="167" fontId="19" fillId="0" borderId="1" xfId="1" applyNumberFormat="1" applyFont="1" applyBorder="1"/>
    <xf numFmtId="9" fontId="16" fillId="0" borderId="2" xfId="2" quotePrefix="1" applyFont="1" applyBorder="1"/>
    <xf numFmtId="0" fontId="16" fillId="0" borderId="13" xfId="0" applyFont="1" applyBorder="1"/>
    <xf numFmtId="0" fontId="16" fillId="0" borderId="10" xfId="0" applyFont="1" applyFill="1" applyBorder="1"/>
    <xf numFmtId="167" fontId="16" fillId="5" borderId="13" xfId="1" applyNumberFormat="1" applyFont="1" applyFill="1" applyBorder="1"/>
    <xf numFmtId="167" fontId="16" fillId="0" borderId="13" xfId="0" applyNumberFormat="1" applyFont="1" applyBorder="1"/>
    <xf numFmtId="9" fontId="16" fillId="0" borderId="10" xfId="2" applyFont="1" applyBorder="1"/>
    <xf numFmtId="37" fontId="16" fillId="0" borderId="13" xfId="0" applyNumberFormat="1" applyFont="1" applyBorder="1"/>
    <xf numFmtId="0" fontId="20" fillId="2" borderId="19" xfId="0" applyFont="1" applyFill="1" applyBorder="1"/>
    <xf numFmtId="0" fontId="20" fillId="2" borderId="20" xfId="0" applyFont="1" applyFill="1" applyBorder="1"/>
    <xf numFmtId="167" fontId="20" fillId="2" borderId="20" xfId="0" applyNumberFormat="1" applyFont="1" applyFill="1" applyBorder="1"/>
    <xf numFmtId="0" fontId="20" fillId="2" borderId="21" xfId="0" applyFont="1" applyFill="1" applyBorder="1"/>
    <xf numFmtId="37" fontId="20" fillId="2" borderId="22" xfId="0" applyNumberFormat="1" applyFont="1" applyFill="1" applyBorder="1"/>
    <xf numFmtId="0" fontId="16" fillId="0" borderId="18" xfId="0" applyFont="1" applyBorder="1"/>
    <xf numFmtId="0" fontId="16" fillId="0" borderId="2" xfId="0" applyFont="1" applyBorder="1"/>
    <xf numFmtId="0" fontId="2" fillId="0" borderId="25" xfId="0" applyFont="1" applyBorder="1" applyAlignment="1">
      <alignment horizontal="center" wrapText="1"/>
    </xf>
    <xf numFmtId="164" fontId="0" fillId="0" borderId="11" xfId="1" applyFont="1" applyBorder="1"/>
    <xf numFmtId="0" fontId="2" fillId="0" borderId="26" xfId="0" applyFont="1" applyBorder="1" applyAlignment="1">
      <alignment horizontal="center" wrapText="1"/>
    </xf>
    <xf numFmtId="164" fontId="0" fillId="0" borderId="27" xfId="1" applyNumberFormat="1" applyFont="1" applyBorder="1"/>
    <xf numFmtId="0" fontId="0" fillId="0" borderId="27" xfId="0" applyBorder="1"/>
    <xf numFmtId="0" fontId="0" fillId="0" borderId="28" xfId="0" applyBorder="1"/>
    <xf numFmtId="164" fontId="2" fillId="2" borderId="1" xfId="0" applyNumberFormat="1" applyFont="1" applyFill="1" applyBorder="1"/>
    <xf numFmtId="164" fontId="2" fillId="9" borderId="1" xfId="0" applyNumberFormat="1" applyFont="1" applyFill="1" applyBorder="1"/>
    <xf numFmtId="164" fontId="2" fillId="9" borderId="18" xfId="0" applyNumberFormat="1" applyFont="1" applyFill="1" applyBorder="1"/>
    <xf numFmtId="0" fontId="0" fillId="0" borderId="13" xfId="0" applyFill="1" applyBorder="1"/>
    <xf numFmtId="164" fontId="0" fillId="0" borderId="13" xfId="0" applyNumberFormat="1" applyBorder="1"/>
    <xf numFmtId="164" fontId="0" fillId="0" borderId="13" xfId="1" applyFont="1" applyBorder="1"/>
    <xf numFmtId="9" fontId="0" fillId="0" borderId="13" xfId="2" applyFont="1" applyBorder="1"/>
    <xf numFmtId="164" fontId="0" fillId="0" borderId="29" xfId="1" applyFont="1" applyBorder="1"/>
    <xf numFmtId="0" fontId="2" fillId="9" borderId="30" xfId="0" applyFont="1" applyFill="1" applyBorder="1"/>
    <xf numFmtId="0" fontId="2" fillId="9" borderId="12" xfId="0" applyFont="1" applyFill="1" applyBorder="1"/>
    <xf numFmtId="164" fontId="2" fillId="9" borderId="20" xfId="0" applyNumberFormat="1" applyFont="1" applyFill="1" applyBorder="1"/>
    <xf numFmtId="0" fontId="2" fillId="9" borderId="20" xfId="0" applyFont="1" applyFill="1" applyBorder="1"/>
    <xf numFmtId="0" fontId="2" fillId="9" borderId="20" xfId="2" applyNumberFormat="1" applyFont="1" applyFill="1" applyBorder="1"/>
    <xf numFmtId="164" fontId="2" fillId="9" borderId="31" xfId="0" applyNumberFormat="1" applyFont="1" applyFill="1" applyBorder="1"/>
    <xf numFmtId="164" fontId="0" fillId="0" borderId="18" xfId="1" applyNumberFormat="1" applyFont="1" applyBorder="1"/>
    <xf numFmtId="164" fontId="0" fillId="0" borderId="18" xfId="0" applyNumberFormat="1" applyBorder="1"/>
    <xf numFmtId="164" fontId="0" fillId="0" borderId="1" xfId="0" applyNumberFormat="1" applyFill="1" applyBorder="1"/>
    <xf numFmtId="3" fontId="0" fillId="0" borderId="1" xfId="0" applyNumberFormat="1" applyFill="1" applyBorder="1"/>
    <xf numFmtId="9" fontId="0" fillId="0" borderId="1" xfId="2" applyFont="1" applyFill="1" applyBorder="1"/>
    <xf numFmtId="0" fontId="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0" fillId="0" borderId="22" xfId="0" applyNumberFormat="1" applyBorder="1"/>
    <xf numFmtId="0" fontId="2" fillId="2" borderId="32" xfId="0" applyFont="1" applyFill="1" applyBorder="1"/>
    <xf numFmtId="0" fontId="2" fillId="2" borderId="33" xfId="0" applyFont="1" applyFill="1" applyBorder="1"/>
    <xf numFmtId="3" fontId="2" fillId="2" borderId="34" xfId="0" applyNumberFormat="1" applyFont="1" applyFill="1" applyBorder="1"/>
    <xf numFmtId="3" fontId="2" fillId="2" borderId="35" xfId="0" applyNumberFormat="1" applyFont="1" applyFill="1" applyBorder="1"/>
    <xf numFmtId="3" fontId="2" fillId="2" borderId="36" xfId="0" applyNumberFormat="1" applyFont="1" applyFill="1" applyBorder="1"/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0" fillId="0" borderId="22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4" sqref="E14"/>
    </sheetView>
  </sheetViews>
  <sheetFormatPr defaultRowHeight="14.4" x14ac:dyDescent="0.55000000000000004"/>
  <cols>
    <col min="1" max="1" width="17.26171875" customWidth="1"/>
    <col min="2" max="2" width="1.578125" customWidth="1"/>
    <col min="3" max="3" width="19.83984375" customWidth="1"/>
    <col min="4" max="5" width="20" customWidth="1"/>
  </cols>
  <sheetData>
    <row r="1" spans="1:6" x14ac:dyDescent="0.55000000000000004">
      <c r="A1" t="s">
        <v>95</v>
      </c>
    </row>
    <row r="2" spans="1:6" x14ac:dyDescent="0.55000000000000004">
      <c r="A2" t="s">
        <v>96</v>
      </c>
      <c r="C2" t="s">
        <v>97</v>
      </c>
    </row>
    <row r="3" spans="1:6" x14ac:dyDescent="0.55000000000000004">
      <c r="A3">
        <v>2016</v>
      </c>
      <c r="C3" t="s">
        <v>98</v>
      </c>
    </row>
    <row r="4" spans="1:6" ht="14.7" thickBot="1" x14ac:dyDescent="0.6"/>
    <row r="5" spans="1:6" ht="28.9" customHeight="1" thickTop="1" thickBot="1" x14ac:dyDescent="0.6">
      <c r="A5" s="144" t="s">
        <v>99</v>
      </c>
      <c r="B5" s="144"/>
      <c r="C5" s="144" t="s">
        <v>103</v>
      </c>
      <c r="D5" s="145" t="s">
        <v>102</v>
      </c>
      <c r="E5" s="145" t="s">
        <v>195</v>
      </c>
    </row>
    <row r="6" spans="1:6" ht="15" thickTop="1" thickBot="1" x14ac:dyDescent="0.6">
      <c r="A6" s="146" t="s">
        <v>100</v>
      </c>
      <c r="B6" s="146"/>
      <c r="C6" s="138">
        <f>Clinical2016!K28</f>
        <v>88331.128082651936</v>
      </c>
      <c r="D6" s="138">
        <f>Clinical2016!I28</f>
        <v>2190.7800453514737</v>
      </c>
      <c r="E6" s="138"/>
    </row>
    <row r="7" spans="1:6" ht="15" thickTop="1" thickBot="1" x14ac:dyDescent="0.6">
      <c r="A7" s="146" t="s">
        <v>101</v>
      </c>
      <c r="B7" s="146"/>
      <c r="C7" s="138">
        <f>INFEQ2016!K11</f>
        <v>14710.368175401916</v>
      </c>
      <c r="D7" s="138">
        <v>0</v>
      </c>
      <c r="E7" s="138">
        <f>INFEQ2016!G11</f>
        <v>363174.66000000003</v>
      </c>
    </row>
    <row r="8" spans="1:6" ht="15" thickTop="1" thickBot="1" x14ac:dyDescent="0.6">
      <c r="A8" s="146" t="s">
        <v>182</v>
      </c>
      <c r="B8" s="146"/>
      <c r="C8" s="138">
        <f>MEDTR2016!O21</f>
        <v>925074.27673299669</v>
      </c>
      <c r="D8" s="138">
        <f>MEDTR2016!S21</f>
        <v>8333.3333333333321</v>
      </c>
      <c r="E8" s="138"/>
      <c r="F8" t="s">
        <v>185</v>
      </c>
    </row>
    <row r="9" spans="1:6" ht="15" thickTop="1" thickBot="1" x14ac:dyDescent="0.6">
      <c r="A9" s="139" t="s">
        <v>92</v>
      </c>
      <c r="B9" s="140"/>
      <c r="C9" s="141">
        <f>SUM(C6:C8)</f>
        <v>1028115.7729910505</v>
      </c>
      <c r="D9" s="142">
        <f>SUM(D6:D8)</f>
        <v>10524.113378684806</v>
      </c>
      <c r="E9" s="143"/>
    </row>
    <row r="11" spans="1:6" x14ac:dyDescent="0.55000000000000004">
      <c r="A11" t="s">
        <v>104</v>
      </c>
    </row>
    <row r="15" spans="1:6" x14ac:dyDescent="0.55000000000000004">
      <c r="D15" s="9">
        <f>SUM(C6:C7)</f>
        <v>103041.49625805386</v>
      </c>
      <c r="E1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workbookViewId="0">
      <pane xSplit="1" ySplit="2" topLeftCell="B18" activePane="bottomRight" state="frozen"/>
      <selection pane="topRight" activeCell="B1" sqref="B1"/>
      <selection pane="bottomLeft" activeCell="A4" sqref="A4"/>
      <selection pane="bottomRight" activeCell="N27" sqref="N27"/>
    </sheetView>
  </sheetViews>
  <sheetFormatPr defaultRowHeight="14.4" x14ac:dyDescent="0.55000000000000004"/>
  <cols>
    <col min="1" max="1" width="13.15625" customWidth="1"/>
    <col min="2" max="2" width="15.83984375" customWidth="1"/>
    <col min="3" max="3" width="10.41796875" bestFit="1" customWidth="1"/>
    <col min="4" max="4" width="24.41796875" bestFit="1" customWidth="1"/>
    <col min="5" max="5" width="22" customWidth="1"/>
    <col min="6" max="6" width="15.26171875" bestFit="1" customWidth="1"/>
    <col min="7" max="7" width="13.578125" customWidth="1"/>
    <col min="8" max="8" width="11.578125" bestFit="1" customWidth="1"/>
    <col min="9" max="10" width="11.26171875" customWidth="1"/>
    <col min="11" max="13" width="13" customWidth="1"/>
    <col min="14" max="14" width="41.26171875" bestFit="1" customWidth="1"/>
    <col min="15" max="15" width="19.26171875" bestFit="1" customWidth="1"/>
    <col min="16" max="16" width="39" bestFit="1" customWidth="1"/>
    <col min="17" max="17" width="70.41796875" style="7" customWidth="1"/>
  </cols>
  <sheetData>
    <row r="1" spans="1:17" ht="32.25" customHeight="1" thickBot="1" x14ac:dyDescent="0.6">
      <c r="A1" s="136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7" s="7" customFormat="1" ht="43.5" thickBot="1" x14ac:dyDescent="0.6">
      <c r="A2" s="24" t="s">
        <v>4</v>
      </c>
      <c r="B2" s="27" t="s">
        <v>0</v>
      </c>
      <c r="C2" s="22" t="s">
        <v>66</v>
      </c>
      <c r="D2" s="24" t="s">
        <v>2</v>
      </c>
      <c r="E2" s="24" t="s">
        <v>6</v>
      </c>
      <c r="F2" s="6" t="s">
        <v>84</v>
      </c>
      <c r="G2" s="6" t="s">
        <v>80</v>
      </c>
      <c r="H2" s="6" t="s">
        <v>91</v>
      </c>
      <c r="I2" s="6" t="s">
        <v>55</v>
      </c>
      <c r="J2" s="28" t="s">
        <v>17</v>
      </c>
      <c r="K2" s="29" t="s">
        <v>10</v>
      </c>
      <c r="L2" s="28" t="s">
        <v>53</v>
      </c>
      <c r="M2" s="28" t="s">
        <v>85</v>
      </c>
      <c r="N2" s="24" t="s">
        <v>8</v>
      </c>
      <c r="O2" s="24" t="s">
        <v>82</v>
      </c>
      <c r="P2" s="25" t="s">
        <v>83</v>
      </c>
      <c r="Q2" s="26"/>
    </row>
    <row r="3" spans="1:17" x14ac:dyDescent="0.55000000000000004">
      <c r="A3" s="2" t="s">
        <v>5</v>
      </c>
      <c r="B3" s="2" t="s">
        <v>1</v>
      </c>
      <c r="C3" s="2">
        <v>2016</v>
      </c>
      <c r="D3" s="2" t="s">
        <v>3</v>
      </c>
      <c r="E3" s="2" t="s">
        <v>7</v>
      </c>
      <c r="F3" s="4">
        <v>354435.37000000005</v>
      </c>
      <c r="G3" s="5">
        <v>192275.93</v>
      </c>
      <c r="H3" s="43">
        <v>34433</v>
      </c>
      <c r="I3" s="30"/>
      <c r="J3" s="11">
        <f t="shared" ref="J3:J5" si="0">G3/F3</f>
        <v>0.5424851645026284</v>
      </c>
      <c r="K3" s="3">
        <f>(G3/F3)*H3</f>
        <v>18679.391669319004</v>
      </c>
      <c r="L3" s="3"/>
      <c r="M3" s="3">
        <f t="shared" ref="M3:M6" si="1">F3/H3</f>
        <v>10.293479220515206</v>
      </c>
      <c r="N3" s="3"/>
      <c r="O3" s="2"/>
      <c r="P3" s="2"/>
      <c r="Q3" s="23"/>
    </row>
    <row r="4" spans="1:17" x14ac:dyDescent="0.55000000000000004">
      <c r="A4" s="2" t="s">
        <v>5</v>
      </c>
      <c r="B4" s="1" t="s">
        <v>18</v>
      </c>
      <c r="C4" s="1">
        <v>2016</v>
      </c>
      <c r="D4" s="1" t="s">
        <v>11</v>
      </c>
      <c r="E4" s="2" t="s">
        <v>7</v>
      </c>
      <c r="F4" s="8">
        <v>142400</v>
      </c>
      <c r="G4" s="8">
        <v>70622</v>
      </c>
      <c r="H4" s="44">
        <v>13567</v>
      </c>
      <c r="I4" s="2"/>
      <c r="J4" s="11">
        <f t="shared" si="0"/>
        <v>0.49594101123595508</v>
      </c>
      <c r="K4" s="20">
        <f>H4*J4</f>
        <v>6728.4316994382025</v>
      </c>
      <c r="L4" s="3"/>
      <c r="M4" s="33">
        <f t="shared" si="1"/>
        <v>10.49605660794575</v>
      </c>
      <c r="N4" s="1" t="s">
        <v>15</v>
      </c>
      <c r="O4" s="1"/>
      <c r="P4" s="1"/>
      <c r="Q4" s="10" t="s">
        <v>67</v>
      </c>
    </row>
    <row r="5" spans="1:17" x14ac:dyDescent="0.55000000000000004">
      <c r="A5" s="2" t="s">
        <v>5</v>
      </c>
      <c r="B5" s="1" t="s">
        <v>13</v>
      </c>
      <c r="C5" s="1">
        <v>2016</v>
      </c>
      <c r="D5" s="1" t="s">
        <v>14</v>
      </c>
      <c r="E5" s="2" t="s">
        <v>7</v>
      </c>
      <c r="F5" s="31">
        <v>165043.16</v>
      </c>
      <c r="G5" s="8">
        <v>56528.86</v>
      </c>
      <c r="H5" s="44">
        <v>39249</v>
      </c>
      <c r="I5" s="2"/>
      <c r="J5" s="11">
        <f t="shared" si="0"/>
        <v>0.34250955931769606</v>
      </c>
      <c r="K5" s="32">
        <f>(G5/F5)*H5</f>
        <v>13443.157693660252</v>
      </c>
      <c r="L5" s="3"/>
      <c r="M5" s="33">
        <f t="shared" si="1"/>
        <v>4.2050284083670926</v>
      </c>
      <c r="N5" s="1"/>
      <c r="O5" s="1"/>
      <c r="P5" s="1"/>
      <c r="Q5" s="10"/>
    </row>
    <row r="6" spans="1:17" x14ac:dyDescent="0.55000000000000004">
      <c r="A6" s="2" t="s">
        <v>5</v>
      </c>
      <c r="B6" s="1" t="s">
        <v>20</v>
      </c>
      <c r="C6" s="1">
        <v>2016</v>
      </c>
      <c r="D6" s="1" t="s">
        <v>16</v>
      </c>
      <c r="E6" s="2" t="s">
        <v>7</v>
      </c>
      <c r="F6" s="8">
        <f>1387183+6430.78</f>
        <v>1393613.78</v>
      </c>
      <c r="G6" s="38">
        <f>200000+6430.78+10000+36130.79</f>
        <v>252561.57</v>
      </c>
      <c r="H6" s="45">
        <v>47834</v>
      </c>
      <c r="I6" s="2"/>
      <c r="J6" s="11">
        <f t="shared" ref="J6:J12" si="2">G6/F6</f>
        <v>0.18122780760678184</v>
      </c>
      <c r="K6" s="3">
        <f>(G6/F6)*H6</f>
        <v>8668.8509490628021</v>
      </c>
      <c r="L6" s="3"/>
      <c r="M6" s="33">
        <f t="shared" si="1"/>
        <v>29.134376803110758</v>
      </c>
      <c r="N6" s="1"/>
      <c r="O6" s="1"/>
      <c r="P6" s="1"/>
      <c r="Q6" s="10"/>
    </row>
    <row r="7" spans="1:17" x14ac:dyDescent="0.55000000000000004">
      <c r="A7" s="2" t="s">
        <v>5</v>
      </c>
      <c r="B7" s="1" t="s">
        <v>20</v>
      </c>
      <c r="C7" s="1">
        <v>2016</v>
      </c>
      <c r="D7" s="1" t="s">
        <v>16</v>
      </c>
      <c r="E7" s="2" t="s">
        <v>90</v>
      </c>
      <c r="F7" s="38">
        <v>90620.59</v>
      </c>
      <c r="G7" s="38">
        <v>66850</v>
      </c>
      <c r="H7" s="45">
        <v>4394</v>
      </c>
      <c r="I7" s="2"/>
      <c r="J7" s="11">
        <f t="shared" si="2"/>
        <v>0.7376910699875161</v>
      </c>
      <c r="K7" s="3">
        <f>(G7/F7)*H7</f>
        <v>3241.4145615251459</v>
      </c>
      <c r="L7" s="3"/>
      <c r="M7" s="33"/>
      <c r="N7" s="1"/>
      <c r="O7" s="1"/>
      <c r="P7" s="1"/>
      <c r="Q7" s="10"/>
    </row>
    <row r="8" spans="1:17" x14ac:dyDescent="0.55000000000000004">
      <c r="A8" s="13" t="s">
        <v>5</v>
      </c>
      <c r="B8" s="14" t="s">
        <v>21</v>
      </c>
      <c r="C8" s="1">
        <v>2016</v>
      </c>
      <c r="D8" s="14" t="s">
        <v>52</v>
      </c>
      <c r="E8" s="14" t="s">
        <v>22</v>
      </c>
      <c r="F8" s="16">
        <f>23438.78+943+4996</f>
        <v>29377.78</v>
      </c>
      <c r="G8" s="16">
        <f>23438.78+943+4996</f>
        <v>29377.78</v>
      </c>
      <c r="H8" s="46"/>
      <c r="I8" s="14">
        <v>502</v>
      </c>
      <c r="J8" s="15">
        <f t="shared" si="2"/>
        <v>1</v>
      </c>
      <c r="K8" s="18">
        <f>(G8/F8)*I8</f>
        <v>502</v>
      </c>
      <c r="L8" s="18"/>
      <c r="M8" s="34">
        <f>F8/I8</f>
        <v>58.521474103585653</v>
      </c>
      <c r="N8" s="1"/>
      <c r="O8" s="1"/>
      <c r="P8" s="1"/>
      <c r="Q8" s="10"/>
    </row>
    <row r="9" spans="1:17" x14ac:dyDescent="0.55000000000000004">
      <c r="A9" s="13" t="s">
        <v>5</v>
      </c>
      <c r="B9" s="14" t="s">
        <v>21</v>
      </c>
      <c r="C9" s="1">
        <v>2016</v>
      </c>
      <c r="D9" s="14" t="s">
        <v>52</v>
      </c>
      <c r="E9" s="14" t="s">
        <v>7</v>
      </c>
      <c r="F9" s="16">
        <f>23438.78+943+4996</f>
        <v>29377.78</v>
      </c>
      <c r="G9" s="16">
        <f>23438.78+943+4996</f>
        <v>29377.78</v>
      </c>
      <c r="H9" s="46">
        <v>1090</v>
      </c>
      <c r="I9" s="14"/>
      <c r="J9" s="15">
        <f t="shared" si="2"/>
        <v>1</v>
      </c>
      <c r="K9" s="18">
        <f>(G9/F9)*H9</f>
        <v>1090</v>
      </c>
      <c r="L9" s="18"/>
      <c r="M9" s="34">
        <f>F9/H9</f>
        <v>26.952091743119265</v>
      </c>
      <c r="N9" s="1"/>
      <c r="O9" s="1"/>
      <c r="P9" s="1"/>
      <c r="Q9" s="10"/>
    </row>
    <row r="10" spans="1:17" x14ac:dyDescent="0.55000000000000004">
      <c r="A10" s="1" t="s">
        <v>5</v>
      </c>
      <c r="B10" s="1" t="s">
        <v>23</v>
      </c>
      <c r="C10" s="1">
        <v>2016</v>
      </c>
      <c r="D10" s="1" t="s">
        <v>24</v>
      </c>
      <c r="E10" s="1" t="s">
        <v>7</v>
      </c>
      <c r="F10" s="8">
        <f>G10</f>
        <v>132758</v>
      </c>
      <c r="G10" s="8">
        <f>(299519-79000)-87761</f>
        <v>132758</v>
      </c>
      <c r="H10" s="9">
        <f>2614</f>
        <v>2614</v>
      </c>
      <c r="I10" s="1"/>
      <c r="J10" s="15">
        <f t="shared" si="2"/>
        <v>1</v>
      </c>
      <c r="K10" s="18">
        <f>H10</f>
        <v>2614</v>
      </c>
      <c r="L10" s="36"/>
      <c r="M10" s="18">
        <f>G10/H10</f>
        <v>50.787299158377962</v>
      </c>
      <c r="N10" s="1" t="s">
        <v>89</v>
      </c>
      <c r="O10" s="1"/>
      <c r="P10" s="1"/>
      <c r="Q10" s="10"/>
    </row>
    <row r="11" spans="1:17" x14ac:dyDescent="0.55000000000000004">
      <c r="A11" s="1" t="s">
        <v>5</v>
      </c>
      <c r="B11" s="1" t="s">
        <v>23</v>
      </c>
      <c r="C11" s="1">
        <v>2016</v>
      </c>
      <c r="D11" s="1" t="s">
        <v>24</v>
      </c>
      <c r="E11" s="1" t="s">
        <v>22</v>
      </c>
      <c r="F11" s="8">
        <v>132758</v>
      </c>
      <c r="G11" s="8">
        <f>(299519-79000)-87761</f>
        <v>132758</v>
      </c>
      <c r="H11" s="9"/>
      <c r="I11" s="1">
        <v>6</v>
      </c>
      <c r="J11" s="15">
        <f t="shared" si="2"/>
        <v>1</v>
      </c>
      <c r="K11" s="18">
        <f>I11</f>
        <v>6</v>
      </c>
      <c r="L11" s="36"/>
      <c r="M11" s="18"/>
      <c r="N11" s="1" t="s">
        <v>88</v>
      </c>
      <c r="O11" s="1"/>
      <c r="P11" s="1"/>
      <c r="Q11" s="10"/>
    </row>
    <row r="12" spans="1:17" x14ac:dyDescent="0.55000000000000004">
      <c r="A12" s="1" t="s">
        <v>5</v>
      </c>
      <c r="B12" s="1" t="s">
        <v>25</v>
      </c>
      <c r="C12" s="1">
        <v>2016</v>
      </c>
      <c r="D12" t="s">
        <v>26</v>
      </c>
      <c r="E12" s="1" t="s">
        <v>7</v>
      </c>
      <c r="F12" s="8">
        <v>367000</v>
      </c>
      <c r="G12" s="8">
        <v>60000</v>
      </c>
      <c r="H12" s="44">
        <f>56300+1400+1081+176</f>
        <v>58957</v>
      </c>
      <c r="I12" s="1"/>
      <c r="J12" s="11">
        <f t="shared" si="2"/>
        <v>0.16348773841961853</v>
      </c>
      <c r="K12" s="18">
        <f t="shared" ref="K12" si="3">(G12/F12)*H12</f>
        <v>9638.7465940054499</v>
      </c>
      <c r="L12" s="36"/>
      <c r="M12" s="18">
        <f t="shared" ref="M12" si="4">F12/H12</f>
        <v>6.2248757569075766</v>
      </c>
      <c r="N12" s="1"/>
      <c r="O12" s="1"/>
      <c r="P12" s="1"/>
      <c r="Q12" s="10"/>
    </row>
    <row r="13" spans="1:17" x14ac:dyDescent="0.55000000000000004">
      <c r="A13" s="1" t="s">
        <v>36</v>
      </c>
      <c r="B13" s="1" t="s">
        <v>29</v>
      </c>
      <c r="C13" s="1">
        <v>2016</v>
      </c>
      <c r="D13" s="1" t="s">
        <v>30</v>
      </c>
      <c r="E13" s="1" t="s">
        <v>7</v>
      </c>
      <c r="F13" s="8">
        <f>11403701/96</f>
        <v>118788.55208333333</v>
      </c>
      <c r="G13" s="8">
        <f>3947323/96</f>
        <v>41117.947916666664</v>
      </c>
      <c r="H13" s="17">
        <f>675+4922+3350+735</f>
        <v>9682</v>
      </c>
      <c r="I13" s="1"/>
      <c r="J13" s="11">
        <v>0.40250000000000002</v>
      </c>
      <c r="K13" s="18">
        <f>(G13/F13)*H13</f>
        <v>3351.3664805838034</v>
      </c>
      <c r="L13" s="18"/>
      <c r="M13" s="18">
        <f>F13/H13</f>
        <v>12.2690097173449</v>
      </c>
      <c r="N13" s="1" t="s">
        <v>69</v>
      </c>
      <c r="O13" s="1"/>
      <c r="P13" s="1"/>
      <c r="Q13" s="10"/>
    </row>
    <row r="14" spans="1:17" x14ac:dyDescent="0.55000000000000004">
      <c r="A14" s="1" t="s">
        <v>36</v>
      </c>
      <c r="B14" s="1" t="s">
        <v>29</v>
      </c>
      <c r="C14" s="1">
        <v>2016</v>
      </c>
      <c r="D14" s="1" t="s">
        <v>30</v>
      </c>
      <c r="E14" s="19" t="s">
        <v>54</v>
      </c>
      <c r="F14" s="8">
        <f>11403701/96</f>
        <v>118788.55208333333</v>
      </c>
      <c r="G14" s="8">
        <f>3947323/96</f>
        <v>41117.947916666664</v>
      </c>
      <c r="H14" s="17"/>
      <c r="I14" s="19">
        <f>338</f>
        <v>338</v>
      </c>
      <c r="J14" s="11">
        <f>G14/F14</f>
        <v>0.34614402815366696</v>
      </c>
      <c r="K14" s="18">
        <f>(G14/F14)*I14</f>
        <v>116.99668151593943</v>
      </c>
      <c r="L14" s="18"/>
      <c r="M14" s="18">
        <f>F14/I14</f>
        <v>351.4454203648915</v>
      </c>
      <c r="N14" s="1" t="s">
        <v>31</v>
      </c>
      <c r="O14" s="1"/>
      <c r="P14" s="1"/>
      <c r="Q14" s="10"/>
    </row>
    <row r="15" spans="1:17" x14ac:dyDescent="0.55000000000000004">
      <c r="A15" s="1" t="s">
        <v>36</v>
      </c>
      <c r="B15" s="1" t="s">
        <v>65</v>
      </c>
      <c r="C15" s="1">
        <v>2016</v>
      </c>
      <c r="D15" s="1" t="s">
        <v>72</v>
      </c>
      <c r="E15" s="1" t="s">
        <v>7</v>
      </c>
      <c r="F15" s="38">
        <f>2873489+98414.47</f>
        <v>2971903.47</v>
      </c>
      <c r="G15" s="8">
        <f>96614.47+1800</f>
        <v>98414.47</v>
      </c>
      <c r="H15" s="44">
        <f>54168+6142</f>
        <v>60310</v>
      </c>
      <c r="I15" s="1"/>
      <c r="J15" s="11">
        <f t="shared" ref="J15" si="5">G15/F15</f>
        <v>3.3114961839591645E-2</v>
      </c>
      <c r="K15" s="18">
        <f t="shared" ref="K15" si="6">(G15/F15)*H15</f>
        <v>1997.1633485457721</v>
      </c>
      <c r="L15" s="18"/>
      <c r="M15" s="18">
        <f>F15/H15</f>
        <v>49.277126015586141</v>
      </c>
      <c r="N15" s="1"/>
      <c r="O15" s="1"/>
      <c r="P15" s="1"/>
      <c r="Q15" s="10"/>
    </row>
    <row r="16" spans="1:17" x14ac:dyDescent="0.55000000000000004">
      <c r="A16" s="1" t="s">
        <v>28</v>
      </c>
      <c r="B16" s="1" t="s">
        <v>46</v>
      </c>
      <c r="C16" s="1">
        <v>2016</v>
      </c>
      <c r="D16" s="1" t="s">
        <v>30</v>
      </c>
      <c r="E16" s="19" t="s">
        <v>22</v>
      </c>
      <c r="F16" s="8">
        <v>130417</v>
      </c>
      <c r="G16" s="8">
        <f t="shared" ref="G16:G22" si="7">(56.35*I16)+F16</f>
        <v>138982.20000000001</v>
      </c>
      <c r="H16" s="17"/>
      <c r="I16" s="1">
        <v>152</v>
      </c>
      <c r="J16" s="11">
        <v>1</v>
      </c>
      <c r="K16" s="18">
        <v>152</v>
      </c>
      <c r="L16" s="18"/>
      <c r="M16" s="18"/>
      <c r="N16" s="1"/>
      <c r="O16" s="1"/>
      <c r="P16" s="1"/>
      <c r="Q16" s="10"/>
    </row>
    <row r="17" spans="1:17" x14ac:dyDescent="0.55000000000000004">
      <c r="A17" s="1" t="s">
        <v>28</v>
      </c>
      <c r="B17" s="1" t="s">
        <v>50</v>
      </c>
      <c r="C17" s="1">
        <v>2016</v>
      </c>
      <c r="D17" s="1" t="s">
        <v>30</v>
      </c>
      <c r="E17" s="19" t="s">
        <v>22</v>
      </c>
      <c r="F17" s="8">
        <f>154100.95-F18</f>
        <v>134965.95000000001</v>
      </c>
      <c r="G17" s="8">
        <f t="shared" si="7"/>
        <v>150687.6</v>
      </c>
      <c r="H17" s="17"/>
      <c r="I17" s="1">
        <v>279</v>
      </c>
      <c r="J17" s="11">
        <v>1</v>
      </c>
      <c r="K17" s="18">
        <v>279</v>
      </c>
      <c r="L17" s="18"/>
      <c r="M17" s="18"/>
      <c r="N17" s="1"/>
      <c r="O17" s="1"/>
      <c r="P17" s="1"/>
      <c r="Q17" s="10"/>
    </row>
    <row r="18" spans="1:17" x14ac:dyDescent="0.55000000000000004">
      <c r="A18" s="1" t="s">
        <v>28</v>
      </c>
      <c r="B18" s="1" t="s">
        <v>39</v>
      </c>
      <c r="C18" s="1">
        <v>2016</v>
      </c>
      <c r="D18" s="1" t="s">
        <v>48</v>
      </c>
      <c r="E18" s="19" t="s">
        <v>22</v>
      </c>
      <c r="F18" s="8">
        <f>9440+9695</f>
        <v>19135</v>
      </c>
      <c r="G18" s="8">
        <f t="shared" si="7"/>
        <v>20374.7</v>
      </c>
      <c r="H18" s="17"/>
      <c r="I18" s="1">
        <v>22</v>
      </c>
      <c r="J18" s="11">
        <v>1</v>
      </c>
      <c r="K18" s="18">
        <f t="shared" ref="K18:K21" si="8">I18</f>
        <v>22</v>
      </c>
      <c r="L18" s="18"/>
      <c r="M18" s="18"/>
      <c r="N18" s="1"/>
      <c r="O18" s="1"/>
      <c r="P18" s="1"/>
      <c r="Q18" s="10"/>
    </row>
    <row r="19" spans="1:17" x14ac:dyDescent="0.55000000000000004">
      <c r="A19" s="1" t="s">
        <v>40</v>
      </c>
      <c r="B19" s="1" t="s">
        <v>41</v>
      </c>
      <c r="C19" s="1">
        <v>2016</v>
      </c>
      <c r="D19" s="1" t="s">
        <v>49</v>
      </c>
      <c r="E19" s="19" t="s">
        <v>22</v>
      </c>
      <c r="F19" s="8">
        <v>285530</v>
      </c>
      <c r="G19" s="8">
        <f t="shared" si="7"/>
        <v>304576.3</v>
      </c>
      <c r="H19" s="17"/>
      <c r="I19" s="1">
        <v>338</v>
      </c>
      <c r="J19" s="11">
        <v>1</v>
      </c>
      <c r="K19" s="18">
        <f t="shared" si="8"/>
        <v>338</v>
      </c>
      <c r="L19" s="18"/>
      <c r="M19" s="18"/>
      <c r="N19" s="1"/>
      <c r="O19" s="1"/>
      <c r="P19" s="1"/>
      <c r="Q19" s="10"/>
    </row>
    <row r="20" spans="1:17" x14ac:dyDescent="0.55000000000000004">
      <c r="A20" s="1" t="s">
        <v>42</v>
      </c>
      <c r="B20" s="1" t="s">
        <v>43</v>
      </c>
      <c r="C20" s="1">
        <v>2016</v>
      </c>
      <c r="D20" s="1" t="s">
        <v>42</v>
      </c>
      <c r="E20" s="19" t="s">
        <v>22</v>
      </c>
      <c r="F20" s="8">
        <v>75207</v>
      </c>
      <c r="G20" s="8">
        <f t="shared" si="7"/>
        <v>93633.45</v>
      </c>
      <c r="H20" s="17"/>
      <c r="I20" s="1">
        <v>327</v>
      </c>
      <c r="J20" s="11">
        <v>1</v>
      </c>
      <c r="K20" s="18">
        <f t="shared" si="8"/>
        <v>327</v>
      </c>
      <c r="L20" s="18"/>
      <c r="M20" s="18"/>
      <c r="N20" s="1"/>
      <c r="O20" s="1"/>
      <c r="P20" s="1"/>
      <c r="Q20" s="10"/>
    </row>
    <row r="21" spans="1:17" x14ac:dyDescent="0.55000000000000004">
      <c r="A21" s="1" t="s">
        <v>42</v>
      </c>
      <c r="B21" s="1" t="s">
        <v>44</v>
      </c>
      <c r="C21" s="1">
        <v>2016</v>
      </c>
      <c r="D21" s="1" t="s">
        <v>51</v>
      </c>
      <c r="E21" s="19" t="s">
        <v>22</v>
      </c>
      <c r="F21" s="8">
        <v>4730</v>
      </c>
      <c r="G21" s="8">
        <f t="shared" si="7"/>
        <v>6476.85</v>
      </c>
      <c r="H21" s="17"/>
      <c r="I21" s="1">
        <v>31</v>
      </c>
      <c r="J21" s="11">
        <v>1</v>
      </c>
      <c r="K21" s="18">
        <f t="shared" si="8"/>
        <v>31</v>
      </c>
      <c r="L21" s="18"/>
      <c r="M21" s="18"/>
      <c r="N21" s="1"/>
      <c r="O21" s="1"/>
      <c r="P21" s="1"/>
      <c r="Q21" s="10"/>
    </row>
    <row r="22" spans="1:17" x14ac:dyDescent="0.55000000000000004">
      <c r="A22" s="1" t="s">
        <v>47</v>
      </c>
      <c r="B22" s="1" t="s">
        <v>45</v>
      </c>
      <c r="C22" s="1">
        <v>2016</v>
      </c>
      <c r="D22" s="1" t="s">
        <v>51</v>
      </c>
      <c r="E22" s="19" t="s">
        <v>22</v>
      </c>
      <c r="F22" s="8">
        <v>52371</v>
      </c>
      <c r="G22" s="8">
        <f t="shared" si="7"/>
        <v>54005.15</v>
      </c>
      <c r="H22" s="17"/>
      <c r="I22" s="1">
        <v>29</v>
      </c>
      <c r="J22" s="11">
        <v>1</v>
      </c>
      <c r="K22" s="18">
        <v>29</v>
      </c>
      <c r="L22" s="18"/>
      <c r="M22" s="18"/>
      <c r="N22" s="1"/>
      <c r="O22" s="1"/>
      <c r="P22" s="1"/>
      <c r="Q22" s="10"/>
    </row>
    <row r="23" spans="1:17" x14ac:dyDescent="0.55000000000000004">
      <c r="A23" s="1" t="s">
        <v>60</v>
      </c>
      <c r="B23" s="1" t="s">
        <v>61</v>
      </c>
      <c r="C23" s="1">
        <v>2016</v>
      </c>
      <c r="D23" s="1" t="s">
        <v>64</v>
      </c>
      <c r="E23" s="1" t="s">
        <v>7</v>
      </c>
      <c r="F23" s="8">
        <v>207076.79</v>
      </c>
      <c r="G23" s="8">
        <v>78047</v>
      </c>
      <c r="H23" s="17">
        <v>27506</v>
      </c>
      <c r="I23" s="1"/>
      <c r="J23" s="11">
        <f>G23/F23</f>
        <v>0.37689883062220542</v>
      </c>
      <c r="K23" s="20">
        <f>H23*J23</f>
        <v>10366.979235094383</v>
      </c>
      <c r="L23" s="1"/>
      <c r="M23" s="3">
        <f>F23/H23</f>
        <v>7.5284225259943289</v>
      </c>
      <c r="N23" s="1"/>
      <c r="O23" s="1"/>
      <c r="P23" s="1"/>
      <c r="Q23" s="10"/>
    </row>
    <row r="24" spans="1:17" x14ac:dyDescent="0.55000000000000004">
      <c r="A24" s="1" t="s">
        <v>60</v>
      </c>
      <c r="B24" s="1" t="s">
        <v>62</v>
      </c>
      <c r="C24" s="1">
        <v>2016</v>
      </c>
      <c r="D24" s="1" t="s">
        <v>63</v>
      </c>
      <c r="E24" s="1" t="s">
        <v>7</v>
      </c>
      <c r="F24" s="35">
        <v>1077000</v>
      </c>
      <c r="G24" s="38">
        <v>85247.360000000001</v>
      </c>
      <c r="H24" s="47">
        <v>40349</v>
      </c>
      <c r="I24" s="1"/>
      <c r="J24" s="11">
        <f>G24/F24</f>
        <v>7.9152609099350041E-2</v>
      </c>
      <c r="K24" s="20">
        <f>H24*J24</f>
        <v>3193.7286245496748</v>
      </c>
      <c r="L24" s="1">
        <v>11.77</v>
      </c>
      <c r="M24" s="3">
        <f t="shared" ref="M24" si="9">F24/H24</f>
        <v>26.692111328657464</v>
      </c>
      <c r="N24" s="1" t="s">
        <v>87</v>
      </c>
      <c r="O24" s="1"/>
      <c r="P24" s="1"/>
    </row>
    <row r="25" spans="1:17" x14ac:dyDescent="0.55000000000000004">
      <c r="A25" s="1" t="s">
        <v>40</v>
      </c>
      <c r="B25" s="1" t="s">
        <v>76</v>
      </c>
      <c r="C25" s="1">
        <v>2016</v>
      </c>
      <c r="D25" s="1" t="s">
        <v>49</v>
      </c>
      <c r="E25" s="1" t="s">
        <v>77</v>
      </c>
      <c r="F25" s="8"/>
      <c r="G25" s="8">
        <v>35400</v>
      </c>
      <c r="H25" s="17"/>
      <c r="I25" s="1">
        <v>50</v>
      </c>
      <c r="J25" s="1"/>
      <c r="K25" s="18">
        <f>G25/L25</f>
        <v>44.25</v>
      </c>
      <c r="L25" s="37">
        <v>800</v>
      </c>
      <c r="M25" s="3">
        <f>F25/I25</f>
        <v>0</v>
      </c>
      <c r="N25" s="1"/>
      <c r="O25" s="1"/>
      <c r="P25" s="1"/>
    </row>
    <row r="26" spans="1:17" x14ac:dyDescent="0.55000000000000004">
      <c r="A26" s="1" t="s">
        <v>40</v>
      </c>
      <c r="B26" s="1" t="s">
        <v>76</v>
      </c>
      <c r="C26" s="1">
        <v>2016</v>
      </c>
      <c r="D26" s="1" t="s">
        <v>49</v>
      </c>
      <c r="E26" s="1" t="s">
        <v>78</v>
      </c>
      <c r="F26" s="8">
        <v>4000000</v>
      </c>
      <c r="G26" s="8">
        <v>109300</v>
      </c>
      <c r="H26" s="44">
        <v>122740</v>
      </c>
      <c r="I26" s="40"/>
      <c r="J26" s="21">
        <f t="shared" ref="J26" si="10">G26/F26</f>
        <v>2.7324999999999999E-2</v>
      </c>
      <c r="K26" s="56">
        <f>(G26/F26)*H26</f>
        <v>3353.8705</v>
      </c>
      <c r="L26" s="1"/>
      <c r="M26" s="3">
        <f>F26/H26</f>
        <v>32.589212970506765</v>
      </c>
      <c r="N26" s="1"/>
      <c r="O26" s="1"/>
      <c r="P26" s="1"/>
    </row>
    <row r="27" spans="1:17" ht="14.7" thickBot="1" x14ac:dyDescent="0.6">
      <c r="A27" s="1" t="s">
        <v>186</v>
      </c>
      <c r="B27" s="1" t="s">
        <v>187</v>
      </c>
      <c r="C27" s="1">
        <v>2016</v>
      </c>
      <c r="D27" s="1" t="s">
        <v>187</v>
      </c>
      <c r="E27" s="1" t="s">
        <v>7</v>
      </c>
      <c r="F27" s="8"/>
      <c r="G27" s="8">
        <v>51500</v>
      </c>
      <c r="H27" s="75"/>
      <c r="I27" s="74">
        <f>G27/(181+260)</f>
        <v>116.78004535147392</v>
      </c>
      <c r="J27" s="76"/>
      <c r="K27" s="77">
        <f>I27</f>
        <v>116.78004535147392</v>
      </c>
      <c r="L27" s="39"/>
      <c r="M27" s="3"/>
      <c r="N27" s="1" t="s">
        <v>188</v>
      </c>
      <c r="O27" s="1"/>
      <c r="P27" s="1"/>
    </row>
    <row r="28" spans="1:17" ht="14.7" thickBot="1" x14ac:dyDescent="0.6">
      <c r="A28" s="50" t="s">
        <v>92</v>
      </c>
      <c r="B28" s="50"/>
      <c r="C28" s="50"/>
      <c r="D28" s="50"/>
      <c r="E28" s="50"/>
      <c r="F28" s="50"/>
      <c r="G28" s="50"/>
      <c r="H28" s="53"/>
      <c r="I28" s="78">
        <f>SUM(I3:I27)</f>
        <v>2190.7800453514737</v>
      </c>
      <c r="J28" s="55"/>
      <c r="K28" s="57">
        <f>SUM(K3:K27)</f>
        <v>88331.128082651936</v>
      </c>
      <c r="L28" s="39"/>
      <c r="M28" s="1"/>
      <c r="N28" s="1"/>
      <c r="O28" s="1"/>
      <c r="P28" s="1"/>
    </row>
    <row r="30" spans="1:17" ht="14.7" thickBot="1" x14ac:dyDescent="0.6">
      <c r="A30" s="51" t="s">
        <v>105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7" ht="14.7" thickBot="1" x14ac:dyDescent="0.6">
      <c r="A31" s="48" t="s">
        <v>5</v>
      </c>
      <c r="B31" s="48"/>
      <c r="C31" s="48"/>
      <c r="D31" s="48"/>
      <c r="E31" s="48"/>
      <c r="F31" s="48"/>
      <c r="G31" s="49"/>
      <c r="H31" s="48"/>
      <c r="I31" s="42">
        <f>SUM(I3:I12)</f>
        <v>508</v>
      </c>
      <c r="J31" s="52"/>
      <c r="K31" s="54">
        <f>SUM(K3:K12)</f>
        <v>64611.993167010864</v>
      </c>
    </row>
    <row r="32" spans="1:17" x14ac:dyDescent="0.55000000000000004">
      <c r="G32" s="9"/>
    </row>
    <row r="38" spans="7:7" x14ac:dyDescent="0.55000000000000004">
      <c r="G38" s="9"/>
    </row>
  </sheetData>
  <mergeCells count="1">
    <mergeCell ref="A1:P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topLeftCell="B1" workbookViewId="0">
      <selection activeCell="G13" sqref="G13"/>
    </sheetView>
  </sheetViews>
  <sheetFormatPr defaultColWidth="8.83984375" defaultRowHeight="14.4" x14ac:dyDescent="0.55000000000000004"/>
  <cols>
    <col min="1" max="1" width="13.15625" style="80" customWidth="1"/>
    <col min="2" max="2" width="18.26171875" style="80" bestFit="1" customWidth="1"/>
    <col min="3" max="3" width="10.26171875" style="80" bestFit="1" customWidth="1"/>
    <col min="4" max="4" width="14.15625" style="80" bestFit="1" customWidth="1"/>
    <col min="5" max="5" width="21.15625" style="80" bestFit="1" customWidth="1"/>
    <col min="6" max="6" width="15.26171875" style="80" bestFit="1" customWidth="1"/>
    <col min="7" max="7" width="13.578125" style="80" customWidth="1"/>
    <col min="8" max="8" width="11.578125" style="80" bestFit="1" customWidth="1"/>
    <col min="9" max="9" width="0" style="80" hidden="1" customWidth="1"/>
    <col min="10" max="10" width="11.26171875" style="80" customWidth="1"/>
    <col min="11" max="12" width="13" style="80" customWidth="1"/>
    <col min="13" max="13" width="41.26171875" style="80" bestFit="1" customWidth="1"/>
    <col min="14" max="14" width="19.26171875" style="80" bestFit="1" customWidth="1"/>
    <col min="15" max="15" width="39" style="80" bestFit="1" customWidth="1"/>
    <col min="16" max="16" width="70.41796875" style="79" customWidth="1"/>
    <col min="17" max="16384" width="8.83984375" style="80"/>
  </cols>
  <sheetData>
    <row r="1" spans="1:16" ht="32.25" customHeight="1" thickBot="1" x14ac:dyDescent="0.6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 s="79" customFormat="1" ht="43.5" thickBot="1" x14ac:dyDescent="0.6">
      <c r="A2" s="81" t="s">
        <v>4</v>
      </c>
      <c r="B2" s="82" t="s">
        <v>0</v>
      </c>
      <c r="C2" s="83" t="s">
        <v>68</v>
      </c>
      <c r="D2" s="84" t="s">
        <v>2</v>
      </c>
      <c r="E2" s="84" t="s">
        <v>6</v>
      </c>
      <c r="F2" s="85" t="s">
        <v>79</v>
      </c>
      <c r="G2" s="85" t="s">
        <v>80</v>
      </c>
      <c r="H2" s="85" t="s">
        <v>81</v>
      </c>
      <c r="I2" s="85" t="s">
        <v>19</v>
      </c>
      <c r="J2" s="86" t="s">
        <v>17</v>
      </c>
      <c r="K2" s="86" t="s">
        <v>10</v>
      </c>
      <c r="L2" s="86" t="s">
        <v>12</v>
      </c>
      <c r="M2" s="84" t="s">
        <v>8</v>
      </c>
      <c r="N2" s="84" t="s">
        <v>82</v>
      </c>
      <c r="O2" s="81" t="s">
        <v>83</v>
      </c>
      <c r="P2" s="87"/>
    </row>
    <row r="3" spans="1:16" hidden="1" x14ac:dyDescent="0.55000000000000004">
      <c r="A3" s="88" t="s">
        <v>5</v>
      </c>
      <c r="B3" s="88" t="s">
        <v>33</v>
      </c>
      <c r="C3" s="88">
        <v>2015</v>
      </c>
      <c r="D3" s="88" t="s">
        <v>56</v>
      </c>
      <c r="E3" s="88" t="s">
        <v>27</v>
      </c>
      <c r="F3" s="89">
        <v>510689</v>
      </c>
      <c r="G3" s="89">
        <v>10000</v>
      </c>
      <c r="H3" s="89">
        <v>41113</v>
      </c>
      <c r="I3" s="88"/>
      <c r="J3" s="90">
        <f>G3/F3</f>
        <v>1.9581389064577463E-2</v>
      </c>
      <c r="K3" s="91">
        <f>H3*J3</f>
        <v>805.04964861197323</v>
      </c>
      <c r="L3" s="92">
        <f>F3/H3</f>
        <v>12.421594142971809</v>
      </c>
      <c r="M3" s="88" t="s">
        <v>58</v>
      </c>
      <c r="N3" s="88"/>
      <c r="O3" s="88" t="s">
        <v>57</v>
      </c>
      <c r="P3" s="93"/>
    </row>
    <row r="4" spans="1:16" x14ac:dyDescent="0.55000000000000004">
      <c r="A4" s="88" t="s">
        <v>5</v>
      </c>
      <c r="B4" s="88" t="s">
        <v>33</v>
      </c>
      <c r="C4" s="88">
        <v>2016</v>
      </c>
      <c r="D4" s="88" t="s">
        <v>56</v>
      </c>
      <c r="E4" s="88" t="s">
        <v>27</v>
      </c>
      <c r="F4" s="94">
        <f>(384414*3.28%)+486104</f>
        <v>498712.77919999999</v>
      </c>
      <c r="G4" s="94">
        <v>15000</v>
      </c>
      <c r="H4" s="89">
        <v>57563</v>
      </c>
      <c r="I4" s="88"/>
      <c r="J4" s="90">
        <f>G4/F4</f>
        <v>3.0077432593690393E-2</v>
      </c>
      <c r="K4" s="95">
        <f>G4/L4</f>
        <v>1731.3472523906003</v>
      </c>
      <c r="L4" s="92">
        <f>F4/H4</f>
        <v>8.6637732432291568</v>
      </c>
      <c r="M4" s="88"/>
      <c r="N4" s="88"/>
      <c r="O4" s="88"/>
      <c r="P4" s="93"/>
    </row>
    <row r="5" spans="1:16" hidden="1" x14ac:dyDescent="0.55000000000000004">
      <c r="A5" s="88" t="s">
        <v>35</v>
      </c>
      <c r="B5" s="88" t="s">
        <v>32</v>
      </c>
      <c r="C5" s="88">
        <v>2015</v>
      </c>
      <c r="D5" s="88" t="s">
        <v>34</v>
      </c>
      <c r="E5" s="88" t="s">
        <v>37</v>
      </c>
      <c r="F5" s="94">
        <f>40369895/86</f>
        <v>469417.38372093026</v>
      </c>
      <c r="G5" s="94">
        <v>20078.61</v>
      </c>
      <c r="H5" s="89">
        <f>33742+3249</f>
        <v>36991</v>
      </c>
      <c r="I5" s="88"/>
      <c r="J5" s="90">
        <f>G5/F5</f>
        <v>4.2773469190345921E-2</v>
      </c>
      <c r="K5" s="95">
        <f t="shared" ref="K5" si="0">H5*J5</f>
        <v>1582.233398820086</v>
      </c>
      <c r="L5" s="92">
        <f t="shared" ref="L5:L10" si="1">F5/H5</f>
        <v>12.690043084018551</v>
      </c>
      <c r="M5" s="88"/>
      <c r="N5" s="88"/>
      <c r="O5" s="88" t="s">
        <v>38</v>
      </c>
      <c r="P5" s="93"/>
    </row>
    <row r="6" spans="1:16" x14ac:dyDescent="0.55000000000000004">
      <c r="A6" s="88" t="s">
        <v>36</v>
      </c>
      <c r="B6" s="88" t="s">
        <v>32</v>
      </c>
      <c r="C6" s="88">
        <v>2016</v>
      </c>
      <c r="D6" s="88" t="s">
        <v>34</v>
      </c>
      <c r="E6" s="88" t="s">
        <v>37</v>
      </c>
      <c r="F6" s="96">
        <f>49601000/96</f>
        <v>516677.08333333331</v>
      </c>
      <c r="G6" s="94">
        <v>11363.8</v>
      </c>
      <c r="H6" s="89">
        <f>42115+2787</f>
        <v>44902</v>
      </c>
      <c r="I6" s="88"/>
      <c r="J6" s="90">
        <f>G6/F6</f>
        <v>2.1994008185318843E-2</v>
      </c>
      <c r="K6" s="95">
        <f>G6/L6</f>
        <v>987.57495553718661</v>
      </c>
      <c r="L6" s="92">
        <f t="shared" si="1"/>
        <v>11.506772155657506</v>
      </c>
      <c r="M6" s="88"/>
      <c r="N6" s="88"/>
      <c r="O6" s="88" t="s">
        <v>38</v>
      </c>
      <c r="P6" s="93"/>
    </row>
    <row r="7" spans="1:16" x14ac:dyDescent="0.55000000000000004">
      <c r="A7" s="88" t="s">
        <v>36</v>
      </c>
      <c r="B7" s="88" t="s">
        <v>70</v>
      </c>
      <c r="C7" s="88">
        <v>2016</v>
      </c>
      <c r="D7" s="88" t="s">
        <v>30</v>
      </c>
      <c r="E7" s="88" t="s">
        <v>71</v>
      </c>
      <c r="F7" s="94"/>
      <c r="G7" s="94">
        <v>8515.83</v>
      </c>
      <c r="H7" s="89">
        <f>75*5*4*12</f>
        <v>18000</v>
      </c>
      <c r="I7" s="88"/>
      <c r="J7" s="97" t="s">
        <v>93</v>
      </c>
      <c r="K7" s="95">
        <f>G7/L7</f>
        <v>567.72199999999998</v>
      </c>
      <c r="L7" s="92">
        <v>15</v>
      </c>
      <c r="M7" s="88"/>
      <c r="N7" s="88"/>
      <c r="O7" s="88"/>
      <c r="P7" s="93"/>
    </row>
    <row r="8" spans="1:16" x14ac:dyDescent="0.55000000000000004">
      <c r="A8" s="88" t="s">
        <v>36</v>
      </c>
      <c r="B8" s="88" t="s">
        <v>65</v>
      </c>
      <c r="C8" s="88">
        <v>2016</v>
      </c>
      <c r="D8" s="88" t="s">
        <v>72</v>
      </c>
      <c r="E8" s="88" t="s">
        <v>73</v>
      </c>
      <c r="F8" s="94">
        <v>2873486</v>
      </c>
      <c r="G8" s="94">
        <v>103548.16</v>
      </c>
      <c r="H8" s="89">
        <f>54180+6142</f>
        <v>60322</v>
      </c>
      <c r="I8" s="88"/>
      <c r="J8" s="90">
        <f t="shared" ref="J8:J9" si="2">G8/F8</f>
        <v>3.6035728032083679E-2</v>
      </c>
      <c r="K8" s="95">
        <f>G8/L8</f>
        <v>2173.747186351352</v>
      </c>
      <c r="L8" s="92">
        <f t="shared" si="1"/>
        <v>47.635787938065711</v>
      </c>
      <c r="M8" s="88"/>
      <c r="N8" s="88"/>
      <c r="O8" s="88"/>
      <c r="P8" s="93"/>
    </row>
    <row r="9" spans="1:16" x14ac:dyDescent="0.55000000000000004">
      <c r="A9" s="98" t="s">
        <v>75</v>
      </c>
      <c r="B9" s="98" t="s">
        <v>62</v>
      </c>
      <c r="C9" s="98">
        <v>2016</v>
      </c>
      <c r="D9" s="99" t="s">
        <v>63</v>
      </c>
      <c r="E9" s="98" t="s">
        <v>94</v>
      </c>
      <c r="F9" s="100">
        <v>1077000</v>
      </c>
      <c r="G9" s="101">
        <v>31038.38</v>
      </c>
      <c r="H9" s="98">
        <f>28349+12000</f>
        <v>40349</v>
      </c>
      <c r="I9" s="98"/>
      <c r="J9" s="102">
        <f t="shared" si="2"/>
        <v>2.881929433611885E-2</v>
      </c>
      <c r="K9" s="103">
        <f>G9/L9</f>
        <v>1162.8297071680595</v>
      </c>
      <c r="L9" s="92">
        <f t="shared" ref="L9" si="3">F9/H9</f>
        <v>26.692111328657464</v>
      </c>
      <c r="M9" s="88"/>
      <c r="N9" s="88"/>
      <c r="O9" s="88"/>
      <c r="P9" s="93"/>
    </row>
    <row r="10" spans="1:16" ht="14.7" thickBot="1" x14ac:dyDescent="0.6">
      <c r="A10" s="98" t="s">
        <v>75</v>
      </c>
      <c r="B10" s="98" t="s">
        <v>62</v>
      </c>
      <c r="C10" s="98">
        <v>2016</v>
      </c>
      <c r="D10" s="99" t="s">
        <v>63</v>
      </c>
      <c r="E10" s="98" t="s">
        <v>74</v>
      </c>
      <c r="F10" s="100">
        <v>1077000</v>
      </c>
      <c r="G10" s="101">
        <v>173629.88</v>
      </c>
      <c r="H10" s="98">
        <f>28349+12000</f>
        <v>40349</v>
      </c>
      <c r="I10" s="98"/>
      <c r="J10" s="102">
        <f t="shared" ref="J10" si="4">G10/F10</f>
        <v>0.16121623026926649</v>
      </c>
      <c r="K10" s="103">
        <f>G10/L10</f>
        <v>6504.9136751346332</v>
      </c>
      <c r="L10" s="92">
        <f t="shared" si="1"/>
        <v>26.692111328657464</v>
      </c>
      <c r="M10" s="88"/>
      <c r="N10" s="88"/>
      <c r="O10" s="88"/>
      <c r="P10" s="93"/>
    </row>
    <row r="11" spans="1:16" ht="15" thickTop="1" thickBot="1" x14ac:dyDescent="0.6">
      <c r="A11" s="104" t="s">
        <v>92</v>
      </c>
      <c r="B11" s="105"/>
      <c r="C11" s="105"/>
      <c r="D11" s="105"/>
      <c r="E11" s="105"/>
      <c r="F11" s="105"/>
      <c r="G11" s="106">
        <f>SUM(G4:G10)</f>
        <v>363174.66000000003</v>
      </c>
      <c r="H11" s="105"/>
      <c r="I11" s="105"/>
      <c r="J11" s="107"/>
      <c r="K11" s="108">
        <f>SUM(K4:K10)</f>
        <v>14710.368175401916</v>
      </c>
      <c r="L11" s="109"/>
      <c r="M11" s="88"/>
      <c r="N11" s="88"/>
      <c r="O11" s="88"/>
      <c r="P11" s="93"/>
    </row>
    <row r="12" spans="1:16" x14ac:dyDescent="0.55000000000000004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88"/>
      <c r="M12" s="88"/>
      <c r="N12" s="88"/>
      <c r="O12" s="88"/>
      <c r="P12" s="93"/>
    </row>
    <row r="13" spans="1:16" x14ac:dyDescent="0.55000000000000004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93"/>
    </row>
    <row r="14" spans="1:16" x14ac:dyDescent="0.55000000000000004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6" x14ac:dyDescent="0.55000000000000004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6" x14ac:dyDescent="0.55000000000000004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x14ac:dyDescent="0.55000000000000004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x14ac:dyDescent="0.55000000000000004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</sheetData>
  <mergeCells count="1">
    <mergeCell ref="A1:O1"/>
  </mergeCells>
  <pageMargins left="0.7" right="0.7" top="0.75" bottom="0.75" header="0.3" footer="0.3"/>
  <pageSetup paperSize="9" orientation="portrait" r:id="rId1"/>
  <ignoredErrors>
    <ignoredError sqref="K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"/>
  <sheetViews>
    <sheetView topLeftCell="H1" zoomScale="75" zoomScaleNormal="75" workbookViewId="0">
      <selection activeCell="O21" sqref="O21"/>
    </sheetView>
  </sheetViews>
  <sheetFormatPr defaultRowHeight="14.4" x14ac:dyDescent="0.55000000000000004"/>
  <cols>
    <col min="1" max="1" width="26.68359375" bestFit="1" customWidth="1"/>
    <col min="3" max="3" width="12" bestFit="1" customWidth="1"/>
    <col min="4" max="4" width="18.578125" bestFit="1" customWidth="1"/>
    <col min="6" max="6" width="22.41796875" bestFit="1" customWidth="1"/>
    <col min="7" max="7" width="17.578125" bestFit="1" customWidth="1"/>
    <col min="8" max="8" width="23.26171875" bestFit="1" customWidth="1"/>
    <col min="9" max="9" width="16.578125" customWidth="1"/>
    <col min="10" max="10" width="14.83984375" customWidth="1"/>
    <col min="12" max="12" width="18.68359375" hidden="1" customWidth="1"/>
    <col min="13" max="13" width="13.68359375" customWidth="1"/>
    <col min="15" max="15" width="11.578125" bestFit="1" customWidth="1"/>
    <col min="16" max="16" width="16" style="116" customWidth="1"/>
    <col min="17" max="17" width="12" bestFit="1" customWidth="1"/>
    <col min="18" max="18" width="12.578125" bestFit="1" customWidth="1"/>
    <col min="19" max="19" width="14" customWidth="1"/>
    <col min="20" max="20" width="115.15625" bestFit="1" customWidth="1"/>
    <col min="22" max="22" width="129.83984375" bestFit="1" customWidth="1"/>
  </cols>
  <sheetData>
    <row r="1" spans="1:23" s="7" customFormat="1" ht="47.25" customHeight="1" x14ac:dyDescent="0.55000000000000004">
      <c r="A1" s="28" t="s">
        <v>106</v>
      </c>
      <c r="B1" s="58" t="s">
        <v>107</v>
      </c>
      <c r="C1" s="59" t="s">
        <v>108</v>
      </c>
      <c r="D1" s="59" t="s">
        <v>109</v>
      </c>
      <c r="E1" s="59" t="s">
        <v>110</v>
      </c>
      <c r="F1" s="27" t="s">
        <v>0</v>
      </c>
      <c r="G1" s="24" t="s">
        <v>111</v>
      </c>
      <c r="H1" s="24" t="s">
        <v>6</v>
      </c>
      <c r="I1" s="60" t="s">
        <v>112</v>
      </c>
      <c r="J1" s="61" t="s">
        <v>113</v>
      </c>
      <c r="K1" s="60" t="s">
        <v>193</v>
      </c>
      <c r="L1" s="60" t="s">
        <v>114</v>
      </c>
      <c r="M1" s="62" t="s">
        <v>192</v>
      </c>
      <c r="N1" s="28" t="s">
        <v>115</v>
      </c>
      <c r="O1" s="111" t="s">
        <v>116</v>
      </c>
      <c r="P1" s="113" t="s">
        <v>117</v>
      </c>
      <c r="Q1" s="28" t="s">
        <v>118</v>
      </c>
      <c r="R1" s="63" t="s">
        <v>119</v>
      </c>
      <c r="S1" s="63" t="s">
        <v>183</v>
      </c>
      <c r="T1" s="24" t="s">
        <v>8</v>
      </c>
      <c r="U1" s="24" t="s">
        <v>82</v>
      </c>
      <c r="V1" s="25" t="s">
        <v>83</v>
      </c>
      <c r="W1" s="26"/>
    </row>
    <row r="2" spans="1:23" x14ac:dyDescent="0.55000000000000004">
      <c r="A2" s="1" t="s">
        <v>120</v>
      </c>
      <c r="B2" s="1" t="s">
        <v>121</v>
      </c>
      <c r="C2" s="1" t="s">
        <v>189</v>
      </c>
      <c r="D2" s="1" t="s">
        <v>122</v>
      </c>
      <c r="E2" s="1">
        <v>2016</v>
      </c>
      <c r="F2" s="1" t="s">
        <v>123</v>
      </c>
      <c r="G2" s="1" t="s">
        <v>124</v>
      </c>
      <c r="H2" s="1" t="s">
        <v>125</v>
      </c>
      <c r="I2" s="8">
        <v>76058</v>
      </c>
      <c r="J2" s="8">
        <v>10700</v>
      </c>
      <c r="K2" s="1">
        <v>7</v>
      </c>
      <c r="L2" s="1"/>
      <c r="M2" s="17">
        <f>20*200*20</f>
        <v>80000</v>
      </c>
      <c r="N2" s="21">
        <f t="shared" ref="N2:N7" si="0">J2/I2</f>
        <v>0.14068211102053696</v>
      </c>
      <c r="O2" s="112">
        <f>K2*M2*N2</f>
        <v>78781.982171500698</v>
      </c>
      <c r="P2" s="114">
        <f>K2*N2</f>
        <v>0.98477477714375872</v>
      </c>
      <c r="Q2" s="12">
        <f t="shared" ref="Q2:Q6" si="1">I2/K2</f>
        <v>10865.428571428571</v>
      </c>
      <c r="R2" s="8">
        <f>P2*M2</f>
        <v>78781.982171500698</v>
      </c>
      <c r="S2" s="8"/>
      <c r="T2" s="1" t="s">
        <v>126</v>
      </c>
      <c r="U2" s="1"/>
      <c r="V2" s="1"/>
      <c r="W2" s="10"/>
    </row>
    <row r="3" spans="1:23" x14ac:dyDescent="0.55000000000000004">
      <c r="A3" s="1" t="s">
        <v>133</v>
      </c>
      <c r="B3" s="1" t="s">
        <v>121</v>
      </c>
      <c r="C3" s="1" t="s">
        <v>28</v>
      </c>
      <c r="D3" s="1" t="s">
        <v>127</v>
      </c>
      <c r="E3" s="1">
        <v>2016</v>
      </c>
      <c r="F3" s="1" t="s">
        <v>129</v>
      </c>
      <c r="G3" s="1" t="s">
        <v>130</v>
      </c>
      <c r="H3" s="1" t="s">
        <v>125</v>
      </c>
      <c r="I3" s="8">
        <v>140255.28</v>
      </c>
      <c r="J3" s="8">
        <v>129866</v>
      </c>
      <c r="K3" s="1">
        <v>318</v>
      </c>
      <c r="L3" s="1" t="s">
        <v>131</v>
      </c>
      <c r="M3" s="17">
        <f>1*220*2</f>
        <v>440</v>
      </c>
      <c r="N3" s="21">
        <f t="shared" si="0"/>
        <v>0.92592592592592593</v>
      </c>
      <c r="O3" s="8">
        <f>(K3*0.9*(2*220))+((K3*0.9)*0.9*2*220)</f>
        <v>239263.2</v>
      </c>
      <c r="P3" s="131">
        <f>K3*N3</f>
        <v>294.44444444444446</v>
      </c>
      <c r="Q3" s="8">
        <f t="shared" si="1"/>
        <v>441.05433962264152</v>
      </c>
      <c r="R3" s="64">
        <f>(K3*0.9*(2*220))+((K3*0.9)*0.9*2*220)</f>
        <v>239263.2</v>
      </c>
      <c r="S3" s="64"/>
      <c r="T3" s="1" t="s">
        <v>181</v>
      </c>
      <c r="U3" s="1"/>
      <c r="V3" s="1" t="s">
        <v>132</v>
      </c>
      <c r="W3" s="10"/>
    </row>
    <row r="4" spans="1:23" x14ac:dyDescent="0.55000000000000004">
      <c r="A4" s="1" t="s">
        <v>138</v>
      </c>
      <c r="B4" s="1" t="s">
        <v>121</v>
      </c>
      <c r="C4" s="1" t="s">
        <v>40</v>
      </c>
      <c r="D4" s="68" t="s">
        <v>194</v>
      </c>
      <c r="E4" s="1">
        <v>2016</v>
      </c>
      <c r="F4" s="1" t="s">
        <v>134</v>
      </c>
      <c r="G4" s="1" t="s">
        <v>135</v>
      </c>
      <c r="H4" s="1" t="s">
        <v>125</v>
      </c>
      <c r="I4" s="69">
        <v>369127</v>
      </c>
      <c r="J4" s="69">
        <v>10000</v>
      </c>
      <c r="K4" s="66">
        <v>47</v>
      </c>
      <c r="L4" s="19" t="s">
        <v>136</v>
      </c>
      <c r="M4" s="134">
        <f>20*220*10</f>
        <v>44000</v>
      </c>
      <c r="N4" s="135">
        <f t="shared" si="0"/>
        <v>2.7090947018234918E-2</v>
      </c>
      <c r="O4" s="8">
        <f>M4*N4</f>
        <v>1192.0016688023363</v>
      </c>
      <c r="P4" s="131">
        <f>K4*N4</f>
        <v>1.273274509857041</v>
      </c>
      <c r="Q4" s="8">
        <f t="shared" si="1"/>
        <v>7853.7659574468089</v>
      </c>
      <c r="R4" s="8">
        <f>P4*M4</f>
        <v>56024.078433709808</v>
      </c>
      <c r="S4" s="8"/>
      <c r="T4" s="1" t="s">
        <v>139</v>
      </c>
      <c r="U4" s="1"/>
      <c r="V4" s="65" t="s">
        <v>137</v>
      </c>
      <c r="W4" s="10"/>
    </row>
    <row r="5" spans="1:23" x14ac:dyDescent="0.55000000000000004">
      <c r="A5" s="1" t="s">
        <v>142</v>
      </c>
      <c r="B5" s="1" t="s">
        <v>121</v>
      </c>
      <c r="C5" s="1"/>
      <c r="D5" s="1"/>
      <c r="E5" s="1">
        <v>2016</v>
      </c>
      <c r="F5" s="1" t="s">
        <v>140</v>
      </c>
      <c r="G5" s="1" t="s">
        <v>60</v>
      </c>
      <c r="H5" s="19" t="s">
        <v>191</v>
      </c>
      <c r="I5" s="69">
        <v>40000</v>
      </c>
      <c r="J5" s="69">
        <v>20000</v>
      </c>
      <c r="K5" s="19">
        <v>1</v>
      </c>
      <c r="L5" s="19"/>
      <c r="M5" s="134">
        <f>8*220*20</f>
        <v>35200</v>
      </c>
      <c r="N5" s="135">
        <f t="shared" si="0"/>
        <v>0.5</v>
      </c>
      <c r="O5" s="8">
        <f>K5*M5*N5</f>
        <v>17600</v>
      </c>
      <c r="P5" s="132"/>
      <c r="Q5" s="8">
        <f t="shared" si="1"/>
        <v>40000</v>
      </c>
      <c r="S5" s="8">
        <f>P5*M5</f>
        <v>0</v>
      </c>
      <c r="T5" s="1"/>
      <c r="U5" s="1"/>
      <c r="V5" s="1"/>
      <c r="W5" s="10"/>
    </row>
    <row r="6" spans="1:23" x14ac:dyDescent="0.55000000000000004">
      <c r="A6" s="1" t="s">
        <v>143</v>
      </c>
      <c r="B6" s="1" t="s">
        <v>121</v>
      </c>
      <c r="C6" s="1" t="s">
        <v>42</v>
      </c>
      <c r="D6" s="1" t="s">
        <v>127</v>
      </c>
      <c r="E6" s="1">
        <v>2016</v>
      </c>
      <c r="F6" s="1" t="s">
        <v>144</v>
      </c>
      <c r="G6" s="1" t="s">
        <v>145</v>
      </c>
      <c r="H6" s="19" t="s">
        <v>141</v>
      </c>
      <c r="I6" s="69">
        <v>21000</v>
      </c>
      <c r="J6" s="69">
        <v>7000</v>
      </c>
      <c r="K6" s="19">
        <v>1</v>
      </c>
      <c r="L6" s="19"/>
      <c r="M6" s="134">
        <v>10000</v>
      </c>
      <c r="N6" s="135">
        <f t="shared" si="0"/>
        <v>0.33333333333333331</v>
      </c>
      <c r="O6" s="8">
        <f>K6*M6*N6</f>
        <v>3333.333333333333</v>
      </c>
      <c r="P6" s="131">
        <f>K6*N6</f>
        <v>0.33333333333333331</v>
      </c>
      <c r="Q6" s="8">
        <f t="shared" si="1"/>
        <v>21000</v>
      </c>
      <c r="S6" s="8">
        <f>P6*M6</f>
        <v>3333.333333333333</v>
      </c>
      <c r="T6" s="1"/>
      <c r="U6" s="1"/>
      <c r="V6" s="1"/>
      <c r="W6" s="10"/>
    </row>
    <row r="7" spans="1:23" x14ac:dyDescent="0.55000000000000004">
      <c r="A7" s="1" t="s">
        <v>59</v>
      </c>
      <c r="B7" s="1" t="s">
        <v>121</v>
      </c>
      <c r="C7" s="1" t="s">
        <v>42</v>
      </c>
      <c r="D7" s="1" t="s">
        <v>127</v>
      </c>
      <c r="E7" s="1">
        <v>2016</v>
      </c>
      <c r="F7" s="1" t="s">
        <v>144</v>
      </c>
      <c r="G7" s="1" t="s">
        <v>145</v>
      </c>
      <c r="H7" s="19" t="s">
        <v>180</v>
      </c>
      <c r="I7" s="69">
        <v>21000</v>
      </c>
      <c r="J7" s="69">
        <v>7000</v>
      </c>
      <c r="K7" s="19">
        <v>1</v>
      </c>
      <c r="L7" s="19"/>
      <c r="M7" s="134">
        <v>80000</v>
      </c>
      <c r="N7" s="135">
        <f t="shared" si="0"/>
        <v>0.33333333333333331</v>
      </c>
      <c r="O7" s="8">
        <f>K7*M7*N7</f>
        <v>26666.666666666664</v>
      </c>
      <c r="P7" s="131"/>
      <c r="Q7" s="8"/>
      <c r="R7" s="8"/>
      <c r="S7" s="8"/>
      <c r="T7" s="1"/>
      <c r="U7" s="1"/>
      <c r="V7" s="1"/>
      <c r="W7" s="10"/>
    </row>
    <row r="8" spans="1:23" x14ac:dyDescent="0.55000000000000004">
      <c r="A8" s="1" t="s">
        <v>59</v>
      </c>
      <c r="B8" s="1" t="s">
        <v>121</v>
      </c>
      <c r="C8" s="1" t="s">
        <v>42</v>
      </c>
      <c r="D8" s="1" t="s">
        <v>127</v>
      </c>
      <c r="E8" s="1">
        <v>2016</v>
      </c>
      <c r="F8" s="1" t="s">
        <v>144</v>
      </c>
      <c r="G8" s="1"/>
      <c r="H8" s="1" t="s">
        <v>146</v>
      </c>
      <c r="I8" s="69">
        <v>5156</v>
      </c>
      <c r="J8" s="69">
        <v>5000</v>
      </c>
      <c r="K8" s="19">
        <v>5</v>
      </c>
      <c r="L8" s="19" t="s">
        <v>128</v>
      </c>
      <c r="M8" s="19">
        <f>200*20</f>
        <v>4000</v>
      </c>
      <c r="N8" s="135">
        <f t="shared" ref="N8:N18" si="2">J8/I8</f>
        <v>0.96974398758727698</v>
      </c>
      <c r="O8" s="112">
        <f t="shared" ref="O8:O20" si="3">K8*M8*N8</f>
        <v>19394.879751745539</v>
      </c>
      <c r="P8" s="114">
        <f t="shared" ref="P8:P20" si="4">K8*N8</f>
        <v>4.8487199379363846</v>
      </c>
      <c r="Q8" s="8">
        <f t="shared" ref="Q8:Q20" si="5">I8/K8</f>
        <v>1031.2</v>
      </c>
      <c r="R8" s="8">
        <f>P8*M8</f>
        <v>19394.879751745539</v>
      </c>
      <c r="S8" s="8"/>
      <c r="T8" s="1" t="s">
        <v>147</v>
      </c>
      <c r="U8" s="1"/>
      <c r="V8" s="1"/>
      <c r="W8" s="10"/>
    </row>
    <row r="9" spans="1:23" x14ac:dyDescent="0.55000000000000004">
      <c r="A9" s="67" t="s">
        <v>59</v>
      </c>
      <c r="B9" s="1" t="s">
        <v>121</v>
      </c>
      <c r="C9" s="1" t="s">
        <v>42</v>
      </c>
      <c r="D9" s="1" t="s">
        <v>148</v>
      </c>
      <c r="E9" s="1">
        <v>2016</v>
      </c>
      <c r="F9" s="67" t="s">
        <v>149</v>
      </c>
      <c r="G9" s="67" t="s">
        <v>150</v>
      </c>
      <c r="H9" s="1" t="s">
        <v>151</v>
      </c>
      <c r="I9" s="8">
        <v>84265.700400000002</v>
      </c>
      <c r="J9" s="8">
        <v>11581</v>
      </c>
      <c r="K9" s="1">
        <v>20</v>
      </c>
      <c r="L9" s="1"/>
      <c r="M9" s="17">
        <f t="shared" ref="M9" si="6">80000</f>
        <v>80000</v>
      </c>
      <c r="N9" s="21">
        <f t="shared" si="2"/>
        <v>0.13743432909269451</v>
      </c>
      <c r="O9" s="112">
        <f t="shared" si="3"/>
        <v>219894.92654831122</v>
      </c>
      <c r="P9" s="114">
        <f t="shared" si="4"/>
        <v>2.7486865818538901</v>
      </c>
      <c r="Q9" s="8">
        <f t="shared" si="5"/>
        <v>4213.2850200000003</v>
      </c>
      <c r="R9" s="8">
        <f>P9*M9</f>
        <v>219894.92654831122</v>
      </c>
      <c r="S9" s="8"/>
      <c r="T9" s="1"/>
      <c r="U9" s="1"/>
      <c r="V9" s="1"/>
      <c r="W9" s="7"/>
    </row>
    <row r="10" spans="1:23" x14ac:dyDescent="0.55000000000000004">
      <c r="A10" s="1" t="s">
        <v>157</v>
      </c>
      <c r="B10" s="1" t="s">
        <v>121</v>
      </c>
      <c r="C10" s="1" t="s">
        <v>152</v>
      </c>
      <c r="D10" s="1" t="s">
        <v>153</v>
      </c>
      <c r="E10" s="1">
        <v>2016</v>
      </c>
      <c r="F10" s="1" t="s">
        <v>154</v>
      </c>
      <c r="G10" s="1"/>
      <c r="H10" s="1" t="s">
        <v>190</v>
      </c>
      <c r="I10" s="8">
        <v>31000</v>
      </c>
      <c r="J10" s="8">
        <v>15500</v>
      </c>
      <c r="K10" s="1">
        <v>1</v>
      </c>
      <c r="L10" s="1" t="s">
        <v>155</v>
      </c>
      <c r="M10" s="1">
        <f>500*20</f>
        <v>10000</v>
      </c>
      <c r="N10" s="21">
        <f t="shared" si="2"/>
        <v>0.5</v>
      </c>
      <c r="O10" s="112">
        <f t="shared" si="3"/>
        <v>5000</v>
      </c>
      <c r="P10" s="115">
        <f t="shared" si="4"/>
        <v>0.5</v>
      </c>
      <c r="Q10" s="1">
        <f t="shared" si="5"/>
        <v>31000</v>
      </c>
      <c r="S10" s="8">
        <f>P10*M10</f>
        <v>5000</v>
      </c>
      <c r="T10" s="1" t="s">
        <v>156</v>
      </c>
      <c r="U10" s="1"/>
      <c r="V10" s="1"/>
      <c r="W10" s="7"/>
    </row>
    <row r="11" spans="1:23" x14ac:dyDescent="0.55000000000000004">
      <c r="A11" s="1" t="s">
        <v>157</v>
      </c>
      <c r="B11" s="1" t="s">
        <v>121</v>
      </c>
      <c r="C11" s="1" t="s">
        <v>152</v>
      </c>
      <c r="D11" s="1" t="s">
        <v>153</v>
      </c>
      <c r="E11" s="1">
        <v>2016</v>
      </c>
      <c r="F11" s="1" t="s">
        <v>154</v>
      </c>
      <c r="G11" s="1"/>
      <c r="H11" s="1" t="s">
        <v>184</v>
      </c>
      <c r="I11" s="8">
        <v>31000</v>
      </c>
      <c r="J11" s="8">
        <v>15500</v>
      </c>
      <c r="K11" s="1">
        <v>1</v>
      </c>
      <c r="L11" s="1" t="s">
        <v>158</v>
      </c>
      <c r="M11" s="1">
        <f>10*100*20</f>
        <v>20000</v>
      </c>
      <c r="N11" s="21">
        <f t="shared" si="2"/>
        <v>0.5</v>
      </c>
      <c r="O11" s="112">
        <f t="shared" si="3"/>
        <v>10000</v>
      </c>
      <c r="P11" s="114">
        <f t="shared" si="4"/>
        <v>0.5</v>
      </c>
      <c r="Q11" s="8">
        <f t="shared" si="5"/>
        <v>31000</v>
      </c>
      <c r="R11" s="8">
        <f t="shared" ref="R11:R20" si="7">P11*M11</f>
        <v>10000</v>
      </c>
      <c r="S11" s="8"/>
      <c r="T11" s="1" t="s">
        <v>159</v>
      </c>
      <c r="U11" s="1"/>
      <c r="V11" s="1"/>
      <c r="W11" s="7"/>
    </row>
    <row r="12" spans="1:23" x14ac:dyDescent="0.55000000000000004">
      <c r="A12" s="1" t="s">
        <v>162</v>
      </c>
      <c r="B12" s="1" t="s">
        <v>121</v>
      </c>
      <c r="C12" s="1" t="s">
        <v>5</v>
      </c>
      <c r="D12" s="1" t="s">
        <v>160</v>
      </c>
      <c r="E12" s="1">
        <v>2016</v>
      </c>
      <c r="F12" s="19" t="s">
        <v>163</v>
      </c>
      <c r="G12" s="1" t="s">
        <v>28</v>
      </c>
      <c r="H12" s="1" t="s">
        <v>125</v>
      </c>
      <c r="I12" s="8">
        <v>28726.6</v>
      </c>
      <c r="J12" s="8">
        <v>7239.8360416666674</v>
      </c>
      <c r="K12" s="19">
        <v>2</v>
      </c>
      <c r="L12" s="19"/>
      <c r="M12" s="17">
        <f>80000</f>
        <v>80000</v>
      </c>
      <c r="N12" s="21">
        <f t="shared" si="2"/>
        <v>0.25202551090858882</v>
      </c>
      <c r="O12" s="112">
        <f t="shared" si="3"/>
        <v>40324.081745374213</v>
      </c>
      <c r="P12" s="114">
        <f t="shared" si="4"/>
        <v>0.50405102181717765</v>
      </c>
      <c r="Q12" s="8">
        <f t="shared" si="5"/>
        <v>14363.3</v>
      </c>
      <c r="R12" s="8">
        <f t="shared" si="7"/>
        <v>40324.081745374213</v>
      </c>
      <c r="S12" s="8"/>
      <c r="T12" s="1" t="s">
        <v>161</v>
      </c>
      <c r="U12" s="1"/>
      <c r="V12" s="1"/>
      <c r="W12" s="7"/>
    </row>
    <row r="13" spans="1:23" x14ac:dyDescent="0.55000000000000004">
      <c r="A13" s="68" t="s">
        <v>164</v>
      </c>
      <c r="B13" s="1" t="s">
        <v>121</v>
      </c>
      <c r="C13" s="1" t="s">
        <v>5</v>
      </c>
      <c r="D13" s="1" t="s">
        <v>165</v>
      </c>
      <c r="E13" s="1">
        <v>2016</v>
      </c>
      <c r="F13" s="19" t="s">
        <v>166</v>
      </c>
      <c r="G13" s="19" t="s">
        <v>28</v>
      </c>
      <c r="H13" s="1" t="s">
        <v>125</v>
      </c>
      <c r="I13" s="69">
        <v>217089.2940465959</v>
      </c>
      <c r="J13" s="69">
        <v>65860.93041666667</v>
      </c>
      <c r="K13" s="19">
        <f t="shared" ref="K13" si="8">11-5</f>
        <v>6</v>
      </c>
      <c r="L13" s="19"/>
      <c r="M13" s="17">
        <f t="shared" ref="M13:M16" si="9">80000</f>
        <v>80000</v>
      </c>
      <c r="N13" s="21">
        <f t="shared" si="2"/>
        <v>0.30338175222279884</v>
      </c>
      <c r="O13" s="112">
        <f t="shared" si="3"/>
        <v>145623.24106694345</v>
      </c>
      <c r="P13" s="114">
        <f t="shared" si="4"/>
        <v>1.820290513336793</v>
      </c>
      <c r="Q13" s="8">
        <f t="shared" si="5"/>
        <v>36181.549007765985</v>
      </c>
      <c r="R13" s="8">
        <f t="shared" si="7"/>
        <v>145623.24106694345</v>
      </c>
      <c r="S13" s="8"/>
      <c r="T13" s="19"/>
      <c r="U13" s="19"/>
      <c r="V13" s="19"/>
      <c r="W13" s="7"/>
    </row>
    <row r="14" spans="1:23" x14ac:dyDescent="0.55000000000000004">
      <c r="A14" s="19" t="s">
        <v>167</v>
      </c>
      <c r="B14" s="1" t="s">
        <v>121</v>
      </c>
      <c r="C14" s="1" t="s">
        <v>5</v>
      </c>
      <c r="D14" s="1" t="s">
        <v>109</v>
      </c>
      <c r="E14" s="1">
        <v>2016</v>
      </c>
      <c r="F14" s="19" t="s">
        <v>166</v>
      </c>
      <c r="G14" s="19" t="s">
        <v>28</v>
      </c>
      <c r="H14" s="1" t="s">
        <v>125</v>
      </c>
      <c r="I14" s="69">
        <v>91487.143428126001</v>
      </c>
      <c r="J14" s="69">
        <v>17551.16708333333</v>
      </c>
      <c r="K14" s="19">
        <f t="shared" ref="K14" si="10">3-1</f>
        <v>2</v>
      </c>
      <c r="L14" s="19"/>
      <c r="M14" s="17">
        <f t="shared" si="9"/>
        <v>80000</v>
      </c>
      <c r="N14" s="21">
        <f t="shared" si="2"/>
        <v>0.19184298936081498</v>
      </c>
      <c r="O14" s="112">
        <f t="shared" si="3"/>
        <v>30694.878297730396</v>
      </c>
      <c r="P14" s="114">
        <f t="shared" si="4"/>
        <v>0.38368597872162996</v>
      </c>
      <c r="Q14" s="69">
        <f t="shared" si="5"/>
        <v>45743.571714063</v>
      </c>
      <c r="R14" s="8">
        <f t="shared" si="7"/>
        <v>30694.878297730396</v>
      </c>
      <c r="S14" s="8"/>
      <c r="T14" s="19"/>
      <c r="U14" s="19"/>
      <c r="V14" s="19"/>
      <c r="W14" s="7"/>
    </row>
    <row r="15" spans="1:23" x14ac:dyDescent="0.55000000000000004">
      <c r="A15" s="19" t="s">
        <v>168</v>
      </c>
      <c r="B15" s="1" t="s">
        <v>121</v>
      </c>
      <c r="C15" s="1" t="s">
        <v>5</v>
      </c>
      <c r="D15" s="1" t="s">
        <v>127</v>
      </c>
      <c r="E15" s="1">
        <v>2016</v>
      </c>
      <c r="F15" s="19" t="s">
        <v>166</v>
      </c>
      <c r="G15" s="19" t="s">
        <v>28</v>
      </c>
      <c r="H15" s="1" t="s">
        <v>125</v>
      </c>
      <c r="I15" s="69">
        <v>186698.05540116542</v>
      </c>
      <c r="J15" s="69">
        <v>21250</v>
      </c>
      <c r="K15" s="19">
        <v>5</v>
      </c>
      <c r="L15" s="19" t="s">
        <v>169</v>
      </c>
      <c r="M15" s="17">
        <f t="shared" si="9"/>
        <v>80000</v>
      </c>
      <c r="N15" s="21">
        <f t="shared" si="2"/>
        <v>0.11382014640880589</v>
      </c>
      <c r="O15" s="112">
        <f t="shared" si="3"/>
        <v>45528.058563522354</v>
      </c>
      <c r="P15" s="114">
        <f t="shared" si="4"/>
        <v>0.56910073204402944</v>
      </c>
      <c r="Q15" s="69">
        <f t="shared" si="5"/>
        <v>37339.61108023308</v>
      </c>
      <c r="R15" s="8">
        <f t="shared" si="7"/>
        <v>45528.058563522354</v>
      </c>
      <c r="S15" s="8"/>
      <c r="T15" s="19" t="s">
        <v>170</v>
      </c>
      <c r="U15" s="19"/>
      <c r="V15" s="19"/>
      <c r="W15" s="7"/>
    </row>
    <row r="16" spans="1:23" x14ac:dyDescent="0.55000000000000004">
      <c r="A16" s="19" t="s">
        <v>171</v>
      </c>
      <c r="B16" s="1" t="s">
        <v>121</v>
      </c>
      <c r="C16" s="1" t="s">
        <v>5</v>
      </c>
      <c r="D16" s="1" t="s">
        <v>122</v>
      </c>
      <c r="E16" s="1">
        <v>2016</v>
      </c>
      <c r="F16" s="19" t="s">
        <v>123</v>
      </c>
      <c r="G16" s="19" t="s">
        <v>42</v>
      </c>
      <c r="H16" s="1" t="s">
        <v>125</v>
      </c>
      <c r="I16" s="69">
        <v>93056.076646869857</v>
      </c>
      <c r="J16" s="69">
        <v>7330.270833333333</v>
      </c>
      <c r="K16" s="19">
        <v>2</v>
      </c>
      <c r="L16" s="19"/>
      <c r="M16" s="17">
        <f t="shared" si="9"/>
        <v>80000</v>
      </c>
      <c r="N16" s="21">
        <f t="shared" si="2"/>
        <v>7.8772618591586657E-2</v>
      </c>
      <c r="O16" s="112">
        <f t="shared" si="3"/>
        <v>12603.618974653866</v>
      </c>
      <c r="P16" s="114">
        <f t="shared" si="4"/>
        <v>0.15754523718317331</v>
      </c>
      <c r="Q16" s="69">
        <f t="shared" si="5"/>
        <v>46528.038323434928</v>
      </c>
      <c r="R16" s="8">
        <f t="shared" si="7"/>
        <v>12603.618974653866</v>
      </c>
      <c r="S16" s="8"/>
      <c r="T16" s="19" t="s">
        <v>172</v>
      </c>
      <c r="U16" s="19"/>
      <c r="V16" s="19"/>
      <c r="W16" s="7"/>
    </row>
    <row r="17" spans="1:23" x14ac:dyDescent="0.55000000000000004">
      <c r="A17" s="19" t="s">
        <v>173</v>
      </c>
      <c r="B17" s="1" t="s">
        <v>121</v>
      </c>
      <c r="C17" s="1" t="s">
        <v>5</v>
      </c>
      <c r="D17" s="1" t="s">
        <v>174</v>
      </c>
      <c r="E17" s="1">
        <v>2016</v>
      </c>
      <c r="F17" s="19" t="s">
        <v>123</v>
      </c>
      <c r="G17" s="1" t="s">
        <v>28</v>
      </c>
      <c r="H17" s="1" t="s">
        <v>125</v>
      </c>
      <c r="I17" s="12">
        <v>46078.742132265048</v>
      </c>
      <c r="J17" s="8">
        <v>4074.6529166666664</v>
      </c>
      <c r="K17" s="70">
        <v>2</v>
      </c>
      <c r="L17" s="71" t="s">
        <v>175</v>
      </c>
      <c r="M17" s="17">
        <v>88000</v>
      </c>
      <c r="N17" s="21">
        <f t="shared" si="2"/>
        <v>8.8428041394244816E-2</v>
      </c>
      <c r="O17" s="112">
        <f>K17*M17*N17</f>
        <v>15563.335285387087</v>
      </c>
      <c r="P17" s="114">
        <f t="shared" si="4"/>
        <v>0.17685608278848963</v>
      </c>
      <c r="Q17" s="69">
        <f t="shared" si="5"/>
        <v>23039.371066132524</v>
      </c>
      <c r="R17" s="8">
        <f t="shared" si="7"/>
        <v>15563.335285387087</v>
      </c>
      <c r="S17" s="8"/>
      <c r="T17" s="1"/>
      <c r="U17" s="1"/>
      <c r="V17" s="1"/>
      <c r="W17" s="7"/>
    </row>
    <row r="18" spans="1:23" x14ac:dyDescent="0.55000000000000004">
      <c r="A18" s="19" t="s">
        <v>177</v>
      </c>
      <c r="B18" s="1" t="s">
        <v>121</v>
      </c>
      <c r="C18" s="1" t="s">
        <v>28</v>
      </c>
      <c r="D18" s="1" t="s">
        <v>176</v>
      </c>
      <c r="E18" s="1">
        <v>2016</v>
      </c>
      <c r="F18" s="19" t="s">
        <v>65</v>
      </c>
      <c r="G18" s="1" t="s">
        <v>28</v>
      </c>
      <c r="H18" s="1" t="s">
        <v>125</v>
      </c>
      <c r="I18" s="133">
        <f>320000/96</f>
        <v>3333.3333333333335</v>
      </c>
      <c r="J18" s="69">
        <f>113000/96</f>
        <v>1177.0833333333333</v>
      </c>
      <c r="K18" s="73">
        <v>1</v>
      </c>
      <c r="L18" s="73"/>
      <c r="M18" s="72">
        <f>10*(220*0.6)*20</f>
        <v>26400</v>
      </c>
      <c r="N18" s="21">
        <f t="shared" si="2"/>
        <v>0.35312499999999997</v>
      </c>
      <c r="O18" s="112">
        <f>K18*M18*N18</f>
        <v>9322.5</v>
      </c>
      <c r="P18" s="114">
        <f t="shared" si="4"/>
        <v>0.35312499999999997</v>
      </c>
      <c r="Q18" s="69">
        <f t="shared" si="5"/>
        <v>3333.3333333333335</v>
      </c>
      <c r="R18" s="8">
        <f t="shared" si="7"/>
        <v>9322.5</v>
      </c>
      <c r="S18" s="8"/>
      <c r="T18" s="1"/>
      <c r="U18" s="1"/>
      <c r="V18" s="1"/>
      <c r="W18" s="7"/>
    </row>
    <row r="19" spans="1:23" x14ac:dyDescent="0.55000000000000004">
      <c r="A19" s="19" t="s">
        <v>178</v>
      </c>
      <c r="B19" s="1" t="s">
        <v>121</v>
      </c>
      <c r="C19" s="1" t="s">
        <v>28</v>
      </c>
      <c r="D19" s="1" t="s">
        <v>176</v>
      </c>
      <c r="E19" s="1">
        <v>2016</v>
      </c>
      <c r="F19" s="19" t="s">
        <v>65</v>
      </c>
      <c r="G19" s="1" t="s">
        <v>28</v>
      </c>
      <c r="H19" s="1" t="s">
        <v>125</v>
      </c>
      <c r="I19" s="8">
        <v>1884.0579710144928</v>
      </c>
      <c r="J19" s="8">
        <v>416.66666666666669</v>
      </c>
      <c r="K19" s="70">
        <v>1</v>
      </c>
      <c r="L19" s="70"/>
      <c r="M19" s="134">
        <f>1*220*10</f>
        <v>2200</v>
      </c>
      <c r="N19" s="21">
        <f>J19/I19</f>
        <v>0.22115384615384617</v>
      </c>
      <c r="O19" s="112">
        <f t="shared" si="3"/>
        <v>486.5384615384616</v>
      </c>
      <c r="P19" s="114">
        <f t="shared" si="4"/>
        <v>0.22115384615384617</v>
      </c>
      <c r="Q19" s="69">
        <f t="shared" si="5"/>
        <v>1884.0579710144928</v>
      </c>
      <c r="R19" s="8">
        <f t="shared" si="7"/>
        <v>486.5384615384616</v>
      </c>
      <c r="S19" s="8"/>
      <c r="T19" s="1"/>
      <c r="U19" s="1"/>
      <c r="V19" s="1"/>
      <c r="W19" s="7"/>
    </row>
    <row r="20" spans="1:23" ht="14.7" thickBot="1" x14ac:dyDescent="0.6">
      <c r="A20" s="120" t="s">
        <v>179</v>
      </c>
      <c r="B20" s="120" t="s">
        <v>121</v>
      </c>
      <c r="C20" s="120" t="s">
        <v>28</v>
      </c>
      <c r="D20" s="120" t="s">
        <v>176</v>
      </c>
      <c r="E20" s="120">
        <v>2016</v>
      </c>
      <c r="F20" s="40" t="s">
        <v>62</v>
      </c>
      <c r="G20" s="40" t="s">
        <v>60</v>
      </c>
      <c r="H20" s="40" t="s">
        <v>125</v>
      </c>
      <c r="I20" s="121">
        <v>64595.735592783509</v>
      </c>
      <c r="J20" s="122">
        <v>3069.1324999999997</v>
      </c>
      <c r="K20" s="40">
        <v>1</v>
      </c>
      <c r="L20" s="40"/>
      <c r="M20" s="41">
        <f t="shared" ref="M20" si="11">80000</f>
        <v>80000</v>
      </c>
      <c r="N20" s="123">
        <f>J20/I20</f>
        <v>4.7512927468587825E-2</v>
      </c>
      <c r="O20" s="124">
        <f t="shared" si="3"/>
        <v>3801.0341974870262</v>
      </c>
      <c r="P20" s="114">
        <f t="shared" si="4"/>
        <v>4.7512927468587825E-2</v>
      </c>
      <c r="Q20" s="69">
        <f t="shared" si="5"/>
        <v>64595.735592783509</v>
      </c>
      <c r="R20" s="8">
        <f t="shared" si="7"/>
        <v>3801.0341974870262</v>
      </c>
      <c r="S20" s="8"/>
      <c r="T20" s="1"/>
      <c r="U20" s="1"/>
      <c r="V20" s="1"/>
      <c r="W20" s="7"/>
    </row>
    <row r="21" spans="1:23" ht="14.7" thickBot="1" x14ac:dyDescent="0.6">
      <c r="A21" s="125" t="s">
        <v>92</v>
      </c>
      <c r="B21" s="126"/>
      <c r="C21" s="126"/>
      <c r="D21" s="126"/>
      <c r="E21" s="126"/>
      <c r="F21" s="126"/>
      <c r="G21" s="126"/>
      <c r="H21" s="126"/>
      <c r="I21" s="126"/>
      <c r="J21" s="127"/>
      <c r="K21" s="127"/>
      <c r="L21" s="128"/>
      <c r="M21" s="127"/>
      <c r="N21" s="129"/>
      <c r="O21" s="130">
        <f>SUM(O2:O20)</f>
        <v>925074.27673299669</v>
      </c>
      <c r="P21" s="119">
        <f>SUM(P2:P20)</f>
        <v>309.86655492408261</v>
      </c>
      <c r="Q21" s="118"/>
      <c r="R21" s="118">
        <f>SUM(R2:R20)</f>
        <v>927306.35349790414</v>
      </c>
      <c r="S21" s="117">
        <f>SUM(S2:S20)</f>
        <v>8333.3333333333321</v>
      </c>
    </row>
    <row r="23" spans="1:23" x14ac:dyDescent="0.55000000000000004">
      <c r="J23" s="9"/>
    </row>
  </sheetData>
  <pageMargins left="0.7" right="0.7" top="0.75" bottom="0.75" header="0.3" footer="0.3"/>
  <pageSetup orientation="portrait" horizontalDpi="4294967292" r:id="rId1"/>
  <ignoredErrors>
    <ignoredError sqref="M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 Master</vt:lpstr>
      <vt:lpstr>Clinical2016</vt:lpstr>
      <vt:lpstr>INFEQ2016</vt:lpstr>
      <vt:lpstr>MEDTR2016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Miriti</dc:creator>
  <cp:lastModifiedBy>Jon Fielder</cp:lastModifiedBy>
  <dcterms:created xsi:type="dcterms:W3CDTF">2016-10-24T07:31:41Z</dcterms:created>
  <dcterms:modified xsi:type="dcterms:W3CDTF">2017-05-10T16:59:05Z</dcterms:modified>
</cp:coreProperties>
</file>