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JEFF's Folder\Adding Body Count Analysis\"/>
    </mc:Choice>
  </mc:AlternateContent>
  <bookViews>
    <workbookView xWindow="0" yWindow="0" windowWidth="28800" windowHeight="13245"/>
  </bookViews>
  <sheets>
    <sheet name="Sheet1" sheetId="1" r:id="rId1"/>
  </sheets>
  <definedNames>
    <definedName name="_xlnm.Print_Area" localSheetId="0">Sheet1!$A$1:$N$63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4" i="1"/>
  <c r="B20" i="1"/>
  <c r="F24" i="1" l="1"/>
  <c r="J25" i="1"/>
  <c r="J28" i="1" l="1"/>
  <c r="B15" i="1" l="1"/>
  <c r="F6" i="1" s="1"/>
  <c r="B16" i="1"/>
  <c r="J7" i="1" s="1"/>
  <c r="J26" i="1" s="1"/>
  <c r="J29" i="1" s="1"/>
  <c r="J30" i="1" s="1"/>
  <c r="J46" i="1" s="1"/>
  <c r="B18" i="1"/>
  <c r="B22" i="1" l="1"/>
  <c r="J57" i="1" s="1"/>
  <c r="J59" i="1"/>
  <c r="F25" i="1"/>
  <c r="F26" i="1" s="1"/>
  <c r="J45" i="1" s="1"/>
  <c r="B21" i="1"/>
  <c r="F10" i="1"/>
  <c r="F7" i="1"/>
  <c r="F8" i="1" s="1"/>
  <c r="L31" i="1" l="1"/>
  <c r="F27" i="1"/>
  <c r="F28" i="1" s="1"/>
  <c r="F32" i="1" s="1"/>
  <c r="F9" i="1"/>
  <c r="J54" i="1"/>
  <c r="F14" i="1"/>
  <c r="F11" i="1"/>
  <c r="F13" i="1" s="1"/>
  <c r="F12" i="1" s="1"/>
  <c r="J44" i="1"/>
  <c r="J47" i="1" s="1"/>
  <c r="J48" i="1" s="1"/>
  <c r="J49" i="1" s="1"/>
  <c r="J50" i="1" s="1"/>
  <c r="J60" i="1" s="1"/>
  <c r="J33" i="1"/>
  <c r="F30" i="1"/>
  <c r="J31" i="1"/>
  <c r="J32" i="1" s="1"/>
  <c r="F31" i="1" l="1"/>
  <c r="J51" i="1"/>
  <c r="J52" i="1" s="1"/>
  <c r="J58" i="1"/>
  <c r="F29" i="1"/>
  <c r="F16" i="1"/>
  <c r="F15" i="1"/>
  <c r="J35" i="1"/>
  <c r="J34" i="1"/>
  <c r="J56" i="1" l="1"/>
  <c r="J55" i="1"/>
</calcChain>
</file>

<file path=xl/sharedStrings.xml><?xml version="1.0" encoding="utf-8"?>
<sst xmlns="http://schemas.openxmlformats.org/spreadsheetml/2006/main" count="169" uniqueCount="116">
  <si>
    <t>COST PER ADDITIONAL BODY ANALYSIS</t>
  </si>
  <si>
    <t>TENANT:</t>
  </si>
  <si>
    <t>SQ. FEET:</t>
  </si>
  <si>
    <t>NEW BODIES REQUEST/1,000 RSF</t>
  </si>
  <si>
    <t>BODIES/1,000 RSF PER LEASE</t>
  </si>
  <si>
    <t>SUITE:</t>
  </si>
  <si>
    <t>ENDING BASE RENT:</t>
  </si>
  <si>
    <t>CURRENT BASE RENT:</t>
  </si>
  <si>
    <t>REIMB. CAMS TO OPERATE BLDG:</t>
  </si>
  <si>
    <t>PSF</t>
  </si>
  <si>
    <t>BODY COUNT CAP PER LEASE</t>
  </si>
  <si>
    <t>TOTAL NEW BODIES</t>
  </si>
  <si>
    <t>NON-REIMB. CAMS TO OPERATE BLDG:</t>
  </si>
  <si>
    <t>BUILDING SQUARE FOOTAGE</t>
  </si>
  <si>
    <t>TOTAL COST TO OPERATE BUILDING</t>
  </si>
  <si>
    <t>COST PER BODY BASED ON EXPENSES</t>
  </si>
  <si>
    <t>COST/Person</t>
  </si>
  <si>
    <t>EXTRA BODIES</t>
  </si>
  <si>
    <t>EXTRA CHARGE</t>
  </si>
  <si>
    <t>TOTAL CAMS:</t>
  </si>
  <si>
    <t>Per Month</t>
  </si>
  <si>
    <t>NEW COST/BODY</t>
  </si>
  <si>
    <t xml:space="preserve">CURR. COST PER BODY  </t>
  </si>
  <si>
    <t>CAP IN BODIES</t>
  </si>
  <si>
    <t>P.S.F./MO.</t>
  </si>
  <si>
    <t>CURRENT COST/MO.</t>
  </si>
  <si>
    <t>COST PER BODY BASED ON VARIABLE EXPENSES</t>
  </si>
  <si>
    <t>P.S.F./MO./BODY</t>
  </si>
  <si>
    <t>EXTRA CHARGE/PSF</t>
  </si>
  <si>
    <t xml:space="preserve">EXTRA CHARGE </t>
  </si>
  <si>
    <t>TOTAL OPERATING EXPENSES</t>
  </si>
  <si>
    <t>Cleaning Windows</t>
  </si>
  <si>
    <t>R&amp;M Contract</t>
  </si>
  <si>
    <t>Elevator Contract</t>
  </si>
  <si>
    <t>Less Fixed charge</t>
  </si>
  <si>
    <t>Licenses/inspection fees</t>
  </si>
  <si>
    <t>HVAC Water treatment contract</t>
  </si>
  <si>
    <t>EMS Contract</t>
  </si>
  <si>
    <t>FLS Contract/Inspections/Fees</t>
  </si>
  <si>
    <t>Pest Control Contract</t>
  </si>
  <si>
    <t>Bldg. Signage/Directory</t>
  </si>
  <si>
    <t>Interior Plants</t>
  </si>
  <si>
    <t>Landscaping/Grounds/Maint. Area</t>
  </si>
  <si>
    <t>Security Contract/Misc.</t>
  </si>
  <si>
    <t>Administration/Mgt./Office Expense</t>
  </si>
  <si>
    <t>Parking Structure</t>
  </si>
  <si>
    <t>Insurance</t>
  </si>
  <si>
    <t>R.E. Property Taxes/Personal Taxes</t>
  </si>
  <si>
    <t>Licenses/Fees/Permits</t>
  </si>
  <si>
    <t>Non-Recoverable Expenses</t>
  </si>
  <si>
    <t>SUBTOTAL</t>
  </si>
  <si>
    <t>Variable Charges</t>
  </si>
  <si>
    <t>Building Body Count @ 5/1,000</t>
  </si>
  <si>
    <t>COST PER BODY (Variable Expenses)</t>
  </si>
  <si>
    <t>Per year</t>
  </si>
  <si>
    <t>Assume full building</t>
  </si>
  <si>
    <t>Additional Cost to tenant/Mo.</t>
  </si>
  <si>
    <t>Increase% in body count</t>
  </si>
  <si>
    <t>Increase % in Current Base Rent</t>
  </si>
  <si>
    <t>Increase % in Ending Base Rent</t>
  </si>
  <si>
    <t>RECOMMENDATION:</t>
  </si>
  <si>
    <t>METHOD 4</t>
  </si>
  <si>
    <t>Per body/month</t>
  </si>
  <si>
    <t>Method 1 - Based on total expenses</t>
  </si>
  <si>
    <t>TOTAL</t>
  </si>
  <si>
    <t>AVERAGE OF ALL 3 METHODS</t>
  </si>
  <si>
    <t>Per month increase</t>
  </si>
  <si>
    <t>DESCRIPTION</t>
  </si>
  <si>
    <t>SF</t>
  </si>
  <si>
    <t>Page 2</t>
  </si>
  <si>
    <t>Method 4 - take average of all 3 approaches + 20%.</t>
  </si>
  <si>
    <t>Plus 20% Markup</t>
  </si>
  <si>
    <t>Total</t>
  </si>
  <si>
    <t>BLEND OF ALL 3, weighing them all equally 1/3rd value plus 20% mark up</t>
  </si>
  <si>
    <t xml:space="preserve">               4) Owner should recover at least dollar-for-dollar costs plus a profit</t>
  </si>
  <si>
    <t>METHOD 1 - Landlord perspective</t>
  </si>
  <si>
    <t>Per Mo.</t>
  </si>
  <si>
    <t>Per Yr.</t>
  </si>
  <si>
    <t>ABC PLAZA, ANYTOWN, CA</t>
  </si>
  <si>
    <t>XYZ Industries</t>
  </si>
  <si>
    <t xml:space="preserve">NOTES: </t>
  </si>
  <si>
    <t xml:space="preserve">               1) Method 1 is looking at it from Owner's perspective only on gross expense numbers.</t>
  </si>
  <si>
    <t xml:space="preserve">               5) Cost for tenant to expand is more costly than paying for extra bodies crammed into space</t>
  </si>
  <si>
    <t>For extra</t>
  </si>
  <si>
    <t>bodies/mo</t>
  </si>
  <si>
    <t>COST PSF for Extra Bodies/Mo.</t>
  </si>
  <si>
    <t>Total increase in rent</t>
  </si>
  <si>
    <t>Total increase in rent P.S.F.</t>
  </si>
  <si>
    <t>PSF/Mo.</t>
  </si>
  <si>
    <t>CURRENT COST PER BODY IN BASE RENT:</t>
  </si>
  <si>
    <t>CURRENT Rent Cost per body/mo.</t>
  </si>
  <si>
    <t xml:space="preserve"> </t>
  </si>
  <si>
    <t>COST PER BODY BASED ON BASE RENT</t>
  </si>
  <si>
    <t>BASE RENT (CURRENT)</t>
  </si>
  <si>
    <t>Proposed Rent Cost/body/month %:</t>
  </si>
  <si>
    <t>ENDING Rent Cost per body/mo.</t>
  </si>
  <si>
    <t>Of CURRENT Base Rent</t>
  </si>
  <si>
    <t>Of ENDING Base Rent</t>
  </si>
  <si>
    <t>CONSIDERATIONS FROM OWNERS PERSPECTIVE:</t>
  </si>
  <si>
    <t>More staffing and supplies for janitorial</t>
  </si>
  <si>
    <t>More cooling capacity - running HVAC harder for longer - straining equipment./higher electric bills</t>
  </si>
  <si>
    <t>Higher electric bills</t>
  </si>
  <si>
    <t>More Elevator usage = wear and tear.</t>
  </si>
  <si>
    <t>Hard to quantify the shortened useful life of equipment if pushed harder than designed.</t>
  </si>
  <si>
    <t>More wear/tear to common area.</t>
  </si>
  <si>
    <t>A clause in the lease that quantifies excess bodies in the space gives teeth to owner to enforce</t>
  </si>
  <si>
    <t xml:space="preserve">P.S.F./MO. </t>
  </si>
  <si>
    <t>NEW PROPOSED BODY COUNT</t>
  </si>
  <si>
    <t>METHOD 3 - Tenant perspective</t>
  </si>
  <si>
    <t>METHOD 2 - Landlord perspective more detailed</t>
  </si>
  <si>
    <t>Method 2 - Based on adjusted expenses</t>
  </si>
  <si>
    <t>Method 3 - Based on current Base Rent</t>
  </si>
  <si>
    <t xml:space="preserve">               2) Method 3 is looking at it from tenant's perspective based on what they pay for each employee in rent.</t>
  </si>
  <si>
    <t xml:space="preserve">               3) Method 2 doesn't drill down to every variable expense and split between fixed/variable for that expense. Example: utilities.</t>
  </si>
  <si>
    <t>Tenants overloading spaces changes the tone of the building culture; impacts renewals</t>
  </si>
  <si>
    <t>Jeff Eales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</si>
</sst>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  <numFmt numFmtId="167" formatCode="_(&quot;$&quot;* #,##0.000_);_(&quot;$&quot;* \(#,##0.000\);_(&quot;$&quot;* &quot;-&quot;??_);_(@_)"/>
    <numFmt numFmtId="168" formatCode="0.0%"/>
    <numFmt numFmtId="169" formatCode="_(&quot;$&quot;* #,##0.0000_);_(&quot;$&quot;* \(#,##0.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sz val="2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5" fontId="0" fillId="0" borderId="0" xfId="0" applyNumberFormat="1" applyBorder="1"/>
    <xf numFmtId="4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2" applyFont="1" applyBorder="1"/>
    <xf numFmtId="165" fontId="0" fillId="0" borderId="0" xfId="2" applyNumberFormat="1" applyFont="1" applyBorder="1"/>
    <xf numFmtId="0" fontId="3" fillId="0" borderId="1" xfId="0" applyFont="1" applyBorder="1"/>
    <xf numFmtId="1" fontId="0" fillId="0" borderId="0" xfId="0" applyNumberFormat="1" applyBorder="1"/>
    <xf numFmtId="166" fontId="0" fillId="0" borderId="0" xfId="0" applyNumberFormat="1" applyBorder="1"/>
    <xf numFmtId="167" fontId="0" fillId="0" borderId="0" xfId="2" applyNumberFormat="1" applyFont="1" applyBorder="1"/>
    <xf numFmtId="164" fontId="0" fillId="0" borderId="0" xfId="0" applyNumberFormat="1" applyBorder="1"/>
    <xf numFmtId="9" fontId="0" fillId="0" borderId="0" xfId="3" applyFont="1" applyBorder="1"/>
    <xf numFmtId="168" fontId="0" fillId="0" borderId="0" xfId="3" applyNumberFormat="1" applyFont="1" applyBorder="1"/>
    <xf numFmtId="168" fontId="0" fillId="0" borderId="7" xfId="3" applyNumberFormat="1" applyFont="1" applyBorder="1"/>
    <xf numFmtId="0" fontId="0" fillId="0" borderId="5" xfId="0" applyFill="1" applyBorder="1"/>
    <xf numFmtId="0" fontId="4" fillId="0" borderId="0" xfId="0" applyFont="1"/>
    <xf numFmtId="0" fontId="0" fillId="0" borderId="0" xfId="0" quotePrefix="1"/>
    <xf numFmtId="0" fontId="0" fillId="0" borderId="4" xfId="0" applyBorder="1" applyAlignment="1">
      <alignment horizontal="right"/>
    </xf>
    <xf numFmtId="165" fontId="5" fillId="0" borderId="0" xfId="0" applyNumberFormat="1" applyFont="1" applyBorder="1"/>
    <xf numFmtId="0" fontId="0" fillId="0" borderId="4" xfId="0" quotePrefix="1" applyBorder="1" applyAlignment="1">
      <alignment horizontal="right"/>
    </xf>
    <xf numFmtId="0" fontId="0" fillId="0" borderId="0" xfId="0" applyFill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164" fontId="8" fillId="0" borderId="0" xfId="1" applyNumberFormat="1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165" fontId="8" fillId="0" borderId="0" xfId="2" applyNumberFormat="1" applyFont="1" applyBorder="1"/>
    <xf numFmtId="44" fontId="8" fillId="0" borderId="0" xfId="2" applyFont="1" applyBorder="1"/>
    <xf numFmtId="167" fontId="5" fillId="0" borderId="0" xfId="0" applyNumberFormat="1" applyFont="1" applyBorder="1"/>
    <xf numFmtId="0" fontId="0" fillId="0" borderId="4" xfId="0" applyFill="1" applyBorder="1"/>
    <xf numFmtId="0" fontId="0" fillId="0" borderId="6" xfId="0" applyFill="1" applyBorder="1"/>
    <xf numFmtId="0" fontId="0" fillId="0" borderId="4" xfId="0" applyBorder="1" applyAlignment="1">
      <alignment horizontal="left"/>
    </xf>
    <xf numFmtId="165" fontId="0" fillId="0" borderId="7" xfId="2" applyNumberFormat="1" applyFont="1" applyBorder="1"/>
    <xf numFmtId="1" fontId="0" fillId="2" borderId="0" xfId="0" applyNumberFormat="1" applyFill="1" applyBorder="1"/>
    <xf numFmtId="15" fontId="0" fillId="0" borderId="0" xfId="0" applyNumberFormat="1"/>
    <xf numFmtId="165" fontId="9" fillId="0" borderId="0" xfId="2" applyNumberFormat="1" applyFont="1" applyBorder="1"/>
    <xf numFmtId="44" fontId="9" fillId="0" borderId="0" xfId="2" applyFont="1" applyBorder="1"/>
    <xf numFmtId="167" fontId="0" fillId="0" borderId="0" xfId="0" applyNumberFormat="1" applyBorder="1"/>
    <xf numFmtId="169" fontId="0" fillId="0" borderId="0" xfId="2" applyNumberFormat="1" applyFont="1" applyBorder="1"/>
    <xf numFmtId="165" fontId="10" fillId="0" borderId="0" xfId="2" applyNumberFormat="1" applyFont="1" applyBorder="1"/>
    <xf numFmtId="0" fontId="11" fillId="0" borderId="0" xfId="0" applyFont="1"/>
    <xf numFmtId="168" fontId="3" fillId="0" borderId="7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Normal="100" workbookViewId="0">
      <selection activeCell="A34" sqref="A34"/>
    </sheetView>
  </sheetViews>
  <sheetFormatPr defaultRowHeight="15" x14ac:dyDescent="0.25"/>
  <cols>
    <col min="1" max="1" width="35.7109375" customWidth="1"/>
    <col min="2" max="2" width="14.28515625" bestFit="1" customWidth="1"/>
    <col min="3" max="3" width="7.85546875" customWidth="1"/>
    <col min="4" max="4" width="4.85546875" customWidth="1"/>
    <col min="5" max="5" width="29.28515625" customWidth="1"/>
    <col min="6" max="6" width="11.5703125" bestFit="1" customWidth="1"/>
    <col min="7" max="7" width="11.85546875" customWidth="1"/>
    <col min="8" max="8" width="5.42578125" customWidth="1"/>
    <col min="9" max="9" width="36.5703125" customWidth="1"/>
    <col min="10" max="10" width="15" customWidth="1"/>
    <col min="12" max="12" width="3.7109375" customWidth="1"/>
    <col min="13" max="13" width="10.7109375" customWidth="1"/>
  </cols>
  <sheetData>
    <row r="1" spans="1:15" ht="33.75" x14ac:dyDescent="0.5">
      <c r="C1" s="23" t="s">
        <v>0</v>
      </c>
      <c r="E1" s="1"/>
      <c r="F1" s="1"/>
      <c r="G1" s="1"/>
      <c r="M1" s="42">
        <v>43132</v>
      </c>
    </row>
    <row r="2" spans="1:15" ht="33.75" x14ac:dyDescent="0.5">
      <c r="D2" s="48" t="s">
        <v>78</v>
      </c>
      <c r="E2" s="1"/>
      <c r="F2" s="1"/>
      <c r="G2" s="1"/>
      <c r="M2" t="s">
        <v>115</v>
      </c>
    </row>
    <row r="3" spans="1:15" ht="34.5" thickBot="1" x14ac:dyDescent="0.55000000000000004">
      <c r="C3" s="23"/>
      <c r="E3" s="1"/>
      <c r="F3" s="1"/>
      <c r="G3" s="1"/>
    </row>
    <row r="4" spans="1:15" ht="26.25" x14ac:dyDescent="0.4">
      <c r="A4" s="30" t="s">
        <v>67</v>
      </c>
      <c r="B4" s="2"/>
      <c r="C4" s="3"/>
      <c r="D4" s="1"/>
      <c r="E4" s="14" t="s">
        <v>75</v>
      </c>
      <c r="F4" s="2"/>
      <c r="G4" s="3"/>
      <c r="I4" s="14" t="s">
        <v>109</v>
      </c>
      <c r="J4" s="2"/>
      <c r="K4" s="2"/>
      <c r="L4" s="2"/>
      <c r="M4" s="3"/>
    </row>
    <row r="5" spans="1:15" x14ac:dyDescent="0.25">
      <c r="A5" s="4" t="s">
        <v>13</v>
      </c>
      <c r="B5" s="31">
        <v>200000</v>
      </c>
      <c r="C5" s="6" t="s">
        <v>68</v>
      </c>
      <c r="E5" s="4" t="s">
        <v>15</v>
      </c>
      <c r="F5" s="5"/>
      <c r="G5" s="6"/>
      <c r="H5" s="5"/>
      <c r="I5" s="4" t="s">
        <v>26</v>
      </c>
      <c r="J5" s="5"/>
      <c r="K5" s="5"/>
      <c r="L5" s="5"/>
      <c r="M5" s="6"/>
      <c r="N5" s="5"/>
      <c r="O5" s="5"/>
    </row>
    <row r="6" spans="1:15" x14ac:dyDescent="0.25">
      <c r="A6" s="4" t="s">
        <v>1</v>
      </c>
      <c r="B6" s="32" t="s">
        <v>79</v>
      </c>
      <c r="C6" s="6"/>
      <c r="E6" s="4" t="s">
        <v>19</v>
      </c>
      <c r="F6" s="8">
        <f>B15</f>
        <v>10</v>
      </c>
      <c r="G6" s="6"/>
      <c r="H6" s="5"/>
      <c r="I6" s="4"/>
      <c r="J6" s="5"/>
      <c r="K6" s="5"/>
      <c r="L6" s="5"/>
      <c r="M6" s="6"/>
      <c r="N6" s="5"/>
      <c r="O6" s="5"/>
    </row>
    <row r="7" spans="1:15" x14ac:dyDescent="0.25">
      <c r="A7" s="4" t="s">
        <v>5</v>
      </c>
      <c r="B7" s="33">
        <v>102</v>
      </c>
      <c r="C7" s="6"/>
      <c r="E7" s="4" t="s">
        <v>22</v>
      </c>
      <c r="F7" s="13">
        <f>F6*B8/B18/12</f>
        <v>166.66666666666666</v>
      </c>
      <c r="G7" s="6" t="s">
        <v>20</v>
      </c>
      <c r="H7" s="5"/>
      <c r="I7" s="4" t="s">
        <v>30</v>
      </c>
      <c r="J7" s="7">
        <f>B16</f>
        <v>2000000</v>
      </c>
      <c r="K7" s="5"/>
      <c r="L7" s="5"/>
      <c r="M7" s="6"/>
      <c r="N7" s="5"/>
      <c r="O7" s="5"/>
    </row>
    <row r="8" spans="1:15" x14ac:dyDescent="0.25">
      <c r="A8" s="4" t="s">
        <v>2</v>
      </c>
      <c r="B8" s="31">
        <v>10000</v>
      </c>
      <c r="C8" s="6"/>
      <c r="E8" s="4" t="s">
        <v>106</v>
      </c>
      <c r="F8" s="17">
        <f>F7/B8</f>
        <v>1.6666666666666666E-2</v>
      </c>
      <c r="G8" s="6" t="s">
        <v>20</v>
      </c>
      <c r="H8" s="5"/>
      <c r="I8" s="4" t="s">
        <v>31</v>
      </c>
      <c r="J8" s="34">
        <v>-15000</v>
      </c>
      <c r="K8" s="5" t="s">
        <v>34</v>
      </c>
      <c r="L8" s="5"/>
      <c r="M8" s="6"/>
      <c r="N8" s="5"/>
      <c r="O8" s="5"/>
    </row>
    <row r="9" spans="1:15" x14ac:dyDescent="0.25">
      <c r="A9" s="4" t="s">
        <v>7</v>
      </c>
      <c r="B9" s="34">
        <v>20000</v>
      </c>
      <c r="C9" s="6" t="s">
        <v>76</v>
      </c>
      <c r="E9" s="4" t="s">
        <v>25</v>
      </c>
      <c r="F9" s="13">
        <f>F8*B8*B21</f>
        <v>166.66666666666666</v>
      </c>
      <c r="G9" s="6" t="s">
        <v>20</v>
      </c>
      <c r="H9" s="5"/>
      <c r="I9" s="4" t="s">
        <v>32</v>
      </c>
      <c r="J9" s="34">
        <v>-200000</v>
      </c>
      <c r="K9" s="5" t="s">
        <v>34</v>
      </c>
      <c r="L9" s="5"/>
      <c r="M9" s="6"/>
      <c r="N9" s="5"/>
      <c r="O9" s="5"/>
    </row>
    <row r="10" spans="1:15" x14ac:dyDescent="0.25">
      <c r="A10" s="4" t="s">
        <v>6</v>
      </c>
      <c r="B10" s="34">
        <v>22000</v>
      </c>
      <c r="C10" s="6" t="s">
        <v>76</v>
      </c>
      <c r="E10" s="4" t="s">
        <v>21</v>
      </c>
      <c r="F10" s="15">
        <f>F6*B8/B20/12</f>
        <v>163.3986928104575</v>
      </c>
      <c r="G10" s="22" t="s">
        <v>20</v>
      </c>
      <c r="H10" s="5"/>
      <c r="I10" s="4" t="s">
        <v>33</v>
      </c>
      <c r="J10" s="34">
        <v>-50000</v>
      </c>
      <c r="K10" s="5" t="s">
        <v>34</v>
      </c>
      <c r="L10" s="5"/>
      <c r="M10" s="6"/>
      <c r="N10" s="5"/>
      <c r="O10" s="5"/>
    </row>
    <row r="11" spans="1:15" x14ac:dyDescent="0.25">
      <c r="A11" s="4" t="s">
        <v>8</v>
      </c>
      <c r="B11" s="35">
        <v>9.5</v>
      </c>
      <c r="C11" s="6" t="s">
        <v>9</v>
      </c>
      <c r="E11" s="4" t="s">
        <v>27</v>
      </c>
      <c r="F11" s="16">
        <f>F10/B8</f>
        <v>1.6339869281045749E-2</v>
      </c>
      <c r="G11" s="22" t="s">
        <v>20</v>
      </c>
      <c r="H11" s="5"/>
      <c r="I11" s="4" t="s">
        <v>35</v>
      </c>
      <c r="J11" s="34">
        <v>-2000</v>
      </c>
      <c r="K11" s="5" t="s">
        <v>34</v>
      </c>
      <c r="L11" s="5"/>
      <c r="M11" s="6"/>
      <c r="N11" s="5"/>
      <c r="O11" s="5"/>
    </row>
    <row r="12" spans="1:15" x14ac:dyDescent="0.25">
      <c r="A12" s="4" t="s">
        <v>8</v>
      </c>
      <c r="B12" s="43">
        <f>B11*B5</f>
        <v>1900000</v>
      </c>
      <c r="C12" s="6" t="s">
        <v>77</v>
      </c>
      <c r="E12" s="4" t="s">
        <v>29</v>
      </c>
      <c r="F12" s="13">
        <f>F13*B8</f>
        <v>163.3986928104575</v>
      </c>
      <c r="G12" s="22" t="s">
        <v>20</v>
      </c>
      <c r="H12" s="5"/>
      <c r="I12" s="4" t="s">
        <v>36</v>
      </c>
      <c r="J12" s="34">
        <v>-5000</v>
      </c>
      <c r="K12" s="5" t="s">
        <v>34</v>
      </c>
      <c r="L12" s="5"/>
      <c r="M12" s="6"/>
      <c r="N12" s="5"/>
      <c r="O12" s="5"/>
    </row>
    <row r="13" spans="1:15" x14ac:dyDescent="0.25">
      <c r="A13" s="4" t="s">
        <v>12</v>
      </c>
      <c r="B13" s="35">
        <v>0.5</v>
      </c>
      <c r="C13" s="6" t="s">
        <v>9</v>
      </c>
      <c r="E13" s="4" t="s">
        <v>28</v>
      </c>
      <c r="F13" s="45">
        <f>F11*B21</f>
        <v>1.6339869281045749E-2</v>
      </c>
      <c r="G13" s="22" t="s">
        <v>20</v>
      </c>
      <c r="H13" s="5"/>
      <c r="I13" s="4" t="s">
        <v>37</v>
      </c>
      <c r="J13" s="34">
        <v>-1500</v>
      </c>
      <c r="K13" s="5" t="s">
        <v>34</v>
      </c>
      <c r="L13" s="5"/>
      <c r="M13" s="6"/>
      <c r="N13" s="5"/>
      <c r="O13" s="5"/>
    </row>
    <row r="14" spans="1:15" x14ac:dyDescent="0.25">
      <c r="A14" s="4" t="s">
        <v>12</v>
      </c>
      <c r="B14" s="43">
        <f>B13*B5</f>
        <v>100000</v>
      </c>
      <c r="C14" s="6" t="s">
        <v>77</v>
      </c>
      <c r="E14" s="4" t="s">
        <v>57</v>
      </c>
      <c r="F14" s="19">
        <f>B21/B18</f>
        <v>0.02</v>
      </c>
      <c r="G14" s="6"/>
      <c r="H14" s="5"/>
      <c r="I14" s="4" t="s">
        <v>38</v>
      </c>
      <c r="J14" s="34">
        <v>-40000</v>
      </c>
      <c r="K14" s="5" t="s">
        <v>34</v>
      </c>
      <c r="L14" s="5"/>
      <c r="M14" s="6"/>
      <c r="N14" s="5"/>
      <c r="O14" s="5"/>
    </row>
    <row r="15" spans="1:15" x14ac:dyDescent="0.25">
      <c r="A15" s="4" t="s">
        <v>14</v>
      </c>
      <c r="B15" s="44">
        <f>B13+B11</f>
        <v>10</v>
      </c>
      <c r="C15" s="6" t="s">
        <v>9</v>
      </c>
      <c r="E15" s="4" t="s">
        <v>58</v>
      </c>
      <c r="F15" s="20">
        <f>(F12+B9)/B9-(1)</f>
        <v>8.1699346405228468E-3</v>
      </c>
      <c r="G15" s="6"/>
      <c r="H15" s="5"/>
      <c r="I15" s="4" t="s">
        <v>39</v>
      </c>
      <c r="J15" s="34">
        <v>-1500</v>
      </c>
      <c r="K15" s="5" t="s">
        <v>34</v>
      </c>
      <c r="L15" s="5"/>
      <c r="M15" s="6"/>
      <c r="N15" s="5"/>
      <c r="O15" s="5"/>
    </row>
    <row r="16" spans="1:15" ht="15.75" thickBot="1" x14ac:dyDescent="0.3">
      <c r="A16" s="4" t="s">
        <v>14</v>
      </c>
      <c r="B16" s="43">
        <f>B14+B12</f>
        <v>2000000</v>
      </c>
      <c r="C16" s="6" t="s">
        <v>77</v>
      </c>
      <c r="E16" s="9" t="s">
        <v>59</v>
      </c>
      <c r="F16" s="21">
        <f>(F12+B10)/B10-(1)</f>
        <v>7.4272133095663051E-3</v>
      </c>
      <c r="G16" s="11"/>
      <c r="I16" s="4" t="s">
        <v>40</v>
      </c>
      <c r="J16" s="34">
        <v>-7000</v>
      </c>
      <c r="K16" s="5" t="s">
        <v>34</v>
      </c>
      <c r="L16" s="5"/>
      <c r="M16" s="6"/>
      <c r="N16" s="5"/>
      <c r="O16" s="5"/>
    </row>
    <row r="17" spans="1:15" x14ac:dyDescent="0.25">
      <c r="A17" s="4" t="s">
        <v>4</v>
      </c>
      <c r="B17" s="33">
        <v>5</v>
      </c>
      <c r="C17" s="6"/>
      <c r="I17" s="4" t="s">
        <v>41</v>
      </c>
      <c r="J17" s="34">
        <v>-4000</v>
      </c>
      <c r="K17" s="5" t="s">
        <v>34</v>
      </c>
      <c r="L17" s="5"/>
      <c r="M17" s="6"/>
      <c r="N17" s="5"/>
      <c r="O17" s="5"/>
    </row>
    <row r="18" spans="1:15" x14ac:dyDescent="0.25">
      <c r="A18" s="4" t="s">
        <v>10</v>
      </c>
      <c r="B18" s="15">
        <f>B17*B8/1000</f>
        <v>50</v>
      </c>
      <c r="C18" s="6"/>
      <c r="I18" s="4" t="s">
        <v>42</v>
      </c>
      <c r="J18" s="34">
        <v>-75000</v>
      </c>
      <c r="K18" s="5" t="s">
        <v>34</v>
      </c>
      <c r="L18" s="5"/>
      <c r="M18" s="6"/>
      <c r="N18" s="5"/>
      <c r="O18" s="5"/>
    </row>
    <row r="19" spans="1:15" x14ac:dyDescent="0.25">
      <c r="A19" s="4" t="s">
        <v>3</v>
      </c>
      <c r="B19" s="33">
        <v>5.0999999999999996</v>
      </c>
      <c r="C19" s="6"/>
      <c r="I19" s="4" t="s">
        <v>43</v>
      </c>
      <c r="J19" s="34">
        <v>-150000</v>
      </c>
      <c r="K19" s="5" t="s">
        <v>34</v>
      </c>
      <c r="L19" s="5"/>
      <c r="M19" s="6"/>
      <c r="N19" s="5"/>
      <c r="O19" s="5"/>
    </row>
    <row r="20" spans="1:15" ht="15.75" thickBot="1" x14ac:dyDescent="0.3">
      <c r="A20" s="4" t="s">
        <v>107</v>
      </c>
      <c r="B20" s="41">
        <f>B19*B8/1000</f>
        <v>51</v>
      </c>
      <c r="C20" s="6"/>
      <c r="I20" s="4" t="s">
        <v>44</v>
      </c>
      <c r="J20" s="34">
        <v>-275000</v>
      </c>
      <c r="K20" s="5" t="s">
        <v>34</v>
      </c>
      <c r="L20" s="5"/>
      <c r="M20" s="6"/>
      <c r="N20" s="5"/>
      <c r="O20" s="5"/>
    </row>
    <row r="21" spans="1:15" x14ac:dyDescent="0.25">
      <c r="A21" s="4" t="s">
        <v>11</v>
      </c>
      <c r="B21" s="15">
        <f>B20-B18</f>
        <v>1</v>
      </c>
      <c r="C21" s="6"/>
      <c r="E21" s="14" t="s">
        <v>108</v>
      </c>
      <c r="F21" s="2"/>
      <c r="G21" s="3"/>
      <c r="I21" s="4" t="s">
        <v>45</v>
      </c>
      <c r="J21" s="34">
        <v>-110000</v>
      </c>
      <c r="K21" s="5" t="s">
        <v>34</v>
      </c>
      <c r="L21" s="5"/>
      <c r="M21" s="6"/>
      <c r="N21" s="5"/>
      <c r="O21" s="5"/>
    </row>
    <row r="22" spans="1:15" ht="15.75" thickBot="1" x14ac:dyDescent="0.3">
      <c r="A22" s="38" t="s">
        <v>89</v>
      </c>
      <c r="B22" s="40">
        <f>B9/B18</f>
        <v>400</v>
      </c>
      <c r="C22" s="11"/>
      <c r="E22" s="4" t="s">
        <v>92</v>
      </c>
      <c r="F22" s="5"/>
      <c r="G22" s="6"/>
      <c r="H22" s="5"/>
      <c r="I22" s="4" t="s">
        <v>47</v>
      </c>
      <c r="J22" s="34">
        <v>-400000</v>
      </c>
      <c r="K22" s="5" t="s">
        <v>34</v>
      </c>
      <c r="L22" s="5"/>
      <c r="M22" s="6"/>
      <c r="N22" s="5"/>
      <c r="O22" s="5"/>
    </row>
    <row r="23" spans="1:15" x14ac:dyDescent="0.25">
      <c r="E23" s="4"/>
      <c r="F23" s="5"/>
      <c r="G23" s="6"/>
      <c r="H23" s="5"/>
      <c r="I23" s="4" t="s">
        <v>46</v>
      </c>
      <c r="J23" s="34">
        <v>-50000</v>
      </c>
      <c r="K23" s="5" t="s">
        <v>34</v>
      </c>
      <c r="L23" s="5"/>
      <c r="M23" s="6"/>
      <c r="N23" s="5"/>
      <c r="O23" s="5"/>
    </row>
    <row r="24" spans="1:15" x14ac:dyDescent="0.25">
      <c r="E24" s="4" t="s">
        <v>93</v>
      </c>
      <c r="F24" s="7">
        <f>B9</f>
        <v>20000</v>
      </c>
      <c r="G24" s="6" t="s">
        <v>20</v>
      </c>
      <c r="H24" s="5"/>
      <c r="I24" s="4" t="s">
        <v>48</v>
      </c>
      <c r="J24" s="34">
        <v>-1500</v>
      </c>
      <c r="K24" s="5" t="s">
        <v>34</v>
      </c>
      <c r="L24" s="5"/>
      <c r="M24" s="6"/>
      <c r="N24" s="5"/>
      <c r="O24" s="5"/>
    </row>
    <row r="25" spans="1:15" ht="17.25" x14ac:dyDescent="0.4">
      <c r="E25" s="4" t="s">
        <v>23</v>
      </c>
      <c r="F25" s="15">
        <f>B18</f>
        <v>50</v>
      </c>
      <c r="G25" s="6"/>
      <c r="H25" s="5"/>
      <c r="I25" s="4" t="s">
        <v>49</v>
      </c>
      <c r="J25" s="47">
        <f>B13*-B5</f>
        <v>-100000</v>
      </c>
      <c r="K25" s="5" t="s">
        <v>34</v>
      </c>
      <c r="L25" s="5"/>
      <c r="M25" s="6"/>
      <c r="N25" s="5"/>
      <c r="O25" s="5"/>
    </row>
    <row r="26" spans="1:15" x14ac:dyDescent="0.25">
      <c r="E26" s="4" t="s">
        <v>16</v>
      </c>
      <c r="F26" s="7">
        <f>F24/F25</f>
        <v>400</v>
      </c>
      <c r="G26" s="6"/>
      <c r="H26" s="5"/>
      <c r="I26" s="4" t="s">
        <v>50</v>
      </c>
      <c r="J26" s="7">
        <f>SUM(J7:J25)</f>
        <v>512500</v>
      </c>
      <c r="K26" s="5" t="s">
        <v>51</v>
      </c>
      <c r="L26" s="5"/>
      <c r="M26" s="6"/>
      <c r="N26" s="5"/>
      <c r="O26" s="5"/>
    </row>
    <row r="27" spans="1:15" x14ac:dyDescent="0.25">
      <c r="E27" s="4" t="s">
        <v>17</v>
      </c>
      <c r="F27" s="15">
        <f>B21</f>
        <v>1</v>
      </c>
      <c r="G27" s="6"/>
      <c r="H27" s="5"/>
      <c r="I27" s="4"/>
      <c r="J27" s="5"/>
      <c r="K27" s="5"/>
      <c r="L27" s="5"/>
      <c r="M27" s="6"/>
      <c r="N27" s="5"/>
      <c r="O27" s="5"/>
    </row>
    <row r="28" spans="1:15" x14ac:dyDescent="0.25">
      <c r="E28" s="4" t="s">
        <v>18</v>
      </c>
      <c r="F28" s="7">
        <f>F27*F26</f>
        <v>400</v>
      </c>
      <c r="G28" s="6" t="s">
        <v>20</v>
      </c>
      <c r="H28" s="5"/>
      <c r="I28" s="4" t="s">
        <v>52</v>
      </c>
      <c r="J28" s="18">
        <f>5*B5/1000</f>
        <v>1000</v>
      </c>
      <c r="K28" s="5" t="s">
        <v>55</v>
      </c>
      <c r="L28" s="5"/>
      <c r="M28" s="6"/>
      <c r="N28" s="5"/>
      <c r="O28" s="5"/>
    </row>
    <row r="29" spans="1:15" x14ac:dyDescent="0.25">
      <c r="E29" s="4" t="s">
        <v>24</v>
      </c>
      <c r="F29" s="12">
        <f>F28/B8</f>
        <v>0.04</v>
      </c>
      <c r="G29" s="6"/>
      <c r="H29" s="5"/>
      <c r="I29" s="4" t="s">
        <v>53</v>
      </c>
      <c r="J29" s="13">
        <f>J26/J28</f>
        <v>512.5</v>
      </c>
      <c r="K29" s="5" t="s">
        <v>54</v>
      </c>
      <c r="L29" s="5"/>
      <c r="M29" s="6"/>
      <c r="N29" s="5"/>
      <c r="O29" s="5"/>
    </row>
    <row r="30" spans="1:15" x14ac:dyDescent="0.25">
      <c r="E30" s="4" t="s">
        <v>57</v>
      </c>
      <c r="F30" s="19">
        <f>B21/B18</f>
        <v>0.02</v>
      </c>
      <c r="G30" s="6"/>
      <c r="H30" s="5"/>
      <c r="I30" s="4" t="s">
        <v>53</v>
      </c>
      <c r="J30" s="13">
        <f>J29/12</f>
        <v>42.708333333333336</v>
      </c>
      <c r="K30" s="5" t="s">
        <v>20</v>
      </c>
      <c r="L30" s="5"/>
      <c r="M30" s="6"/>
      <c r="N30" s="5"/>
      <c r="O30" s="5"/>
    </row>
    <row r="31" spans="1:15" x14ac:dyDescent="0.25">
      <c r="E31" s="4" t="s">
        <v>58</v>
      </c>
      <c r="F31" s="20">
        <f>(F28+B9)/B9-(1)</f>
        <v>2.0000000000000018E-2</v>
      </c>
      <c r="G31" s="6"/>
      <c r="H31" s="5"/>
      <c r="I31" s="4" t="s">
        <v>56</v>
      </c>
      <c r="J31" s="7">
        <f>J30*B21</f>
        <v>42.708333333333336</v>
      </c>
      <c r="K31" s="5" t="s">
        <v>83</v>
      </c>
      <c r="L31" s="15">
        <f>B21</f>
        <v>1</v>
      </c>
      <c r="M31" s="6" t="s">
        <v>84</v>
      </c>
      <c r="N31" s="5"/>
      <c r="O31" s="5"/>
    </row>
    <row r="32" spans="1:15" ht="15.75" thickBot="1" x14ac:dyDescent="0.3">
      <c r="E32" s="9" t="s">
        <v>59</v>
      </c>
      <c r="F32" s="21">
        <f>(F28+B10)/B10-(1)</f>
        <v>1.8181818181818077E-2</v>
      </c>
      <c r="G32" s="11"/>
      <c r="I32" s="4" t="s">
        <v>85</v>
      </c>
      <c r="J32" s="46">
        <f>J31/B8</f>
        <v>4.2708333333333339E-3</v>
      </c>
      <c r="K32" s="5" t="s">
        <v>91</v>
      </c>
      <c r="L32" s="15" t="s">
        <v>91</v>
      </c>
      <c r="M32" s="6" t="s">
        <v>91</v>
      </c>
      <c r="N32" s="28" t="s">
        <v>91</v>
      </c>
      <c r="O32" s="5"/>
    </row>
    <row r="33" spans="1:15" x14ac:dyDescent="0.25">
      <c r="I33" s="4" t="s">
        <v>57</v>
      </c>
      <c r="J33" s="19">
        <f>B21/B18</f>
        <v>0.02</v>
      </c>
      <c r="K33" s="5"/>
      <c r="L33" s="5"/>
      <c r="M33" s="6"/>
      <c r="N33" s="5"/>
      <c r="O33" s="5"/>
    </row>
    <row r="34" spans="1:15" x14ac:dyDescent="0.25">
      <c r="I34" s="4" t="s">
        <v>58</v>
      </c>
      <c r="J34" s="20">
        <f>(J31+B9)/B9-(1)</f>
        <v>2.1354166666665009E-3</v>
      </c>
      <c r="K34" s="5"/>
      <c r="L34" s="5"/>
      <c r="M34" s="6"/>
      <c r="N34" s="5"/>
      <c r="O34" s="5"/>
    </row>
    <row r="35" spans="1:15" ht="15.75" thickBot="1" x14ac:dyDescent="0.3">
      <c r="I35" s="9" t="s">
        <v>59</v>
      </c>
      <c r="J35" s="21">
        <f>(J31+B10)/B10-(1)</f>
        <v>1.9412878787878896E-3</v>
      </c>
      <c r="K35" s="10"/>
      <c r="L35" s="10"/>
      <c r="M35" s="11"/>
      <c r="N35" s="5"/>
      <c r="O35" s="5"/>
    </row>
    <row r="36" spans="1:15" x14ac:dyDescent="0.25">
      <c r="N36" s="5"/>
      <c r="O36" s="5"/>
    </row>
    <row r="37" spans="1:15" x14ac:dyDescent="0.25">
      <c r="I37" s="5"/>
      <c r="J37" s="20"/>
      <c r="K37" s="5"/>
      <c r="L37" s="5"/>
      <c r="M37" s="5"/>
      <c r="N37" s="5"/>
      <c r="O37" s="5"/>
    </row>
    <row r="38" spans="1:15" x14ac:dyDescent="0.25">
      <c r="I38" s="5"/>
      <c r="J38" s="20"/>
      <c r="K38" s="5"/>
      <c r="L38" s="5"/>
      <c r="M38" s="5"/>
      <c r="N38" s="5"/>
      <c r="O38" s="5"/>
    </row>
    <row r="39" spans="1:15" x14ac:dyDescent="0.25">
      <c r="I39" s="5"/>
      <c r="J39" s="20"/>
      <c r="K39" s="5"/>
      <c r="L39" s="5"/>
      <c r="M39" s="5" t="s">
        <v>69</v>
      </c>
      <c r="N39" s="5"/>
      <c r="O39" s="5"/>
    </row>
    <row r="40" spans="1:15" ht="15.75" thickBot="1" x14ac:dyDescent="0.3"/>
    <row r="41" spans="1:15" x14ac:dyDescent="0.25">
      <c r="A41" t="s">
        <v>80</v>
      </c>
      <c r="I41" s="14" t="s">
        <v>61</v>
      </c>
      <c r="J41" s="2"/>
      <c r="K41" s="2"/>
      <c r="L41" s="2"/>
      <c r="M41" s="3"/>
    </row>
    <row r="42" spans="1:15" x14ac:dyDescent="0.25">
      <c r="A42" s="24" t="s">
        <v>81</v>
      </c>
      <c r="I42" s="4" t="s">
        <v>73</v>
      </c>
      <c r="J42" s="5"/>
      <c r="K42" s="5"/>
      <c r="L42" s="5"/>
      <c r="M42" s="6"/>
    </row>
    <row r="43" spans="1:15" x14ac:dyDescent="0.25">
      <c r="A43" t="s">
        <v>113</v>
      </c>
      <c r="I43" s="4"/>
      <c r="J43" s="5"/>
      <c r="K43" s="5"/>
      <c r="L43" s="5"/>
      <c r="M43" s="6"/>
    </row>
    <row r="44" spans="1:15" x14ac:dyDescent="0.25">
      <c r="A44" s="24" t="s">
        <v>112</v>
      </c>
      <c r="I44" s="4" t="s">
        <v>63</v>
      </c>
      <c r="J44" s="13">
        <f>F10</f>
        <v>163.3986928104575</v>
      </c>
      <c r="K44" s="5" t="s">
        <v>62</v>
      </c>
      <c r="L44" s="5"/>
      <c r="M44" s="6"/>
    </row>
    <row r="45" spans="1:15" x14ac:dyDescent="0.25">
      <c r="A45" s="24" t="s">
        <v>74</v>
      </c>
      <c r="I45" s="4" t="s">
        <v>110</v>
      </c>
      <c r="J45" s="7">
        <f>F26</f>
        <v>400</v>
      </c>
      <c r="K45" s="5" t="s">
        <v>62</v>
      </c>
      <c r="L45" s="5"/>
      <c r="M45" s="6"/>
    </row>
    <row r="46" spans="1:15" x14ac:dyDescent="0.25">
      <c r="A46" s="24" t="s">
        <v>82</v>
      </c>
      <c r="I46" s="4" t="s">
        <v>111</v>
      </c>
      <c r="J46" s="7">
        <f>J30</f>
        <v>42.708333333333336</v>
      </c>
      <c r="K46" s="5" t="s">
        <v>62</v>
      </c>
      <c r="L46" s="5"/>
      <c r="M46" s="6"/>
    </row>
    <row r="47" spans="1:15" x14ac:dyDescent="0.25">
      <c r="I47" s="25" t="s">
        <v>64</v>
      </c>
      <c r="J47" s="7">
        <f>SUM(J44:J46)</f>
        <v>606.1070261437909</v>
      </c>
      <c r="K47" s="5"/>
      <c r="L47" s="5"/>
      <c r="M47" s="6"/>
    </row>
    <row r="48" spans="1:15" ht="18.75" x14ac:dyDescent="0.3">
      <c r="A48" s="29" t="s">
        <v>60</v>
      </c>
      <c r="B48" t="s">
        <v>70</v>
      </c>
      <c r="I48" s="25" t="s">
        <v>65</v>
      </c>
      <c r="J48" s="26">
        <f>J47/3</f>
        <v>202.03567538126364</v>
      </c>
      <c r="K48" s="5" t="s">
        <v>62</v>
      </c>
      <c r="L48" s="5"/>
      <c r="M48" s="6"/>
    </row>
    <row r="49" spans="1:13" ht="18.75" x14ac:dyDescent="0.3">
      <c r="I49" s="25" t="s">
        <v>71</v>
      </c>
      <c r="J49" s="26">
        <f>J48*0.2</f>
        <v>40.407135076252729</v>
      </c>
      <c r="K49" s="5" t="s">
        <v>62</v>
      </c>
      <c r="L49" s="5"/>
      <c r="M49" s="6"/>
    </row>
    <row r="50" spans="1:13" ht="18.75" x14ac:dyDescent="0.3">
      <c r="I50" s="27" t="s">
        <v>72</v>
      </c>
      <c r="J50" s="26">
        <f>J49+J48</f>
        <v>242.44281045751637</v>
      </c>
      <c r="K50" s="5" t="s">
        <v>62</v>
      </c>
      <c r="L50" s="5"/>
      <c r="M50" s="6"/>
    </row>
    <row r="51" spans="1:13" ht="18.75" x14ac:dyDescent="0.3">
      <c r="A51" t="s">
        <v>98</v>
      </c>
      <c r="I51" s="27" t="s">
        <v>86</v>
      </c>
      <c r="J51" s="26">
        <f>J50*B21</f>
        <v>242.44281045751637</v>
      </c>
      <c r="K51" s="28" t="s">
        <v>66</v>
      </c>
      <c r="L51" s="5"/>
      <c r="M51" s="6"/>
    </row>
    <row r="52" spans="1:13" ht="18.75" x14ac:dyDescent="0.3">
      <c r="A52" t="s">
        <v>99</v>
      </c>
      <c r="I52" s="27" t="s">
        <v>87</v>
      </c>
      <c r="J52" s="36">
        <f>J51/B8</f>
        <v>2.4244281045751638E-2</v>
      </c>
      <c r="K52" s="28" t="s">
        <v>88</v>
      </c>
      <c r="L52" s="5"/>
      <c r="M52" s="6"/>
    </row>
    <row r="53" spans="1:13" x14ac:dyDescent="0.25">
      <c r="A53" t="s">
        <v>100</v>
      </c>
      <c r="I53" s="4"/>
      <c r="J53" s="5"/>
      <c r="K53" s="5"/>
      <c r="L53" s="5"/>
      <c r="M53" s="6"/>
    </row>
    <row r="54" spans="1:13" x14ac:dyDescent="0.25">
      <c r="A54" t="s">
        <v>101</v>
      </c>
      <c r="I54" s="4" t="s">
        <v>57</v>
      </c>
      <c r="J54" s="19">
        <f>B21/B18</f>
        <v>0.02</v>
      </c>
      <c r="K54" s="5"/>
      <c r="L54" s="5"/>
      <c r="M54" s="6"/>
    </row>
    <row r="55" spans="1:13" x14ac:dyDescent="0.25">
      <c r="A55" t="s">
        <v>102</v>
      </c>
      <c r="I55" s="4" t="s">
        <v>58</v>
      </c>
      <c r="J55" s="20">
        <f>J51/B9</f>
        <v>1.2122140522875819E-2</v>
      </c>
      <c r="K55" s="5"/>
      <c r="L55" s="5"/>
      <c r="M55" s="6"/>
    </row>
    <row r="56" spans="1:13" x14ac:dyDescent="0.25">
      <c r="A56" t="s">
        <v>103</v>
      </c>
      <c r="I56" s="4" t="s">
        <v>59</v>
      </c>
      <c r="J56" s="20">
        <f>J51/B10</f>
        <v>1.1020127748068926E-2</v>
      </c>
      <c r="K56" s="5"/>
      <c r="L56" s="5"/>
      <c r="M56" s="6"/>
    </row>
    <row r="57" spans="1:13" x14ac:dyDescent="0.25">
      <c r="A57" t="s">
        <v>104</v>
      </c>
      <c r="I57" s="39" t="s">
        <v>90</v>
      </c>
      <c r="J57" s="8">
        <f>B22</f>
        <v>400</v>
      </c>
      <c r="K57" s="5"/>
      <c r="L57" s="5"/>
      <c r="M57" s="6"/>
    </row>
    <row r="58" spans="1:13" x14ac:dyDescent="0.25">
      <c r="A58" t="s">
        <v>114</v>
      </c>
      <c r="I58" s="37" t="s">
        <v>94</v>
      </c>
      <c r="J58" s="20">
        <f>J50/J57</f>
        <v>0.60610702614379097</v>
      </c>
      <c r="K58" s="5" t="s">
        <v>96</v>
      </c>
      <c r="L58" s="5"/>
      <c r="M58" s="6"/>
    </row>
    <row r="59" spans="1:13" x14ac:dyDescent="0.25">
      <c r="A59" t="s">
        <v>105</v>
      </c>
      <c r="I59" s="39" t="s">
        <v>95</v>
      </c>
      <c r="J59" s="7">
        <f>B10/B18</f>
        <v>440</v>
      </c>
      <c r="K59" s="5"/>
      <c r="L59" s="5"/>
      <c r="M59" s="6"/>
    </row>
    <row r="60" spans="1:13" ht="15.75" thickBot="1" x14ac:dyDescent="0.3">
      <c r="I60" s="38" t="s">
        <v>94</v>
      </c>
      <c r="J60" s="49">
        <f>J50/J59</f>
        <v>0.55100638740344632</v>
      </c>
      <c r="K60" s="10" t="s">
        <v>97</v>
      </c>
      <c r="L60" s="10"/>
      <c r="M60" s="11"/>
    </row>
  </sheetData>
  <pageMargins left="0.7" right="0.7" top="0.75" bottom="0.75" header="0.3" footer="0.3"/>
  <pageSetup paperSize="5" scale="78" fitToHeight="0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Eales</dc:creator>
  <cp:lastModifiedBy>Jeff Eales</cp:lastModifiedBy>
  <cp:lastPrinted>2017-07-19T15:46:23Z</cp:lastPrinted>
  <dcterms:created xsi:type="dcterms:W3CDTF">2016-12-12T23:59:06Z</dcterms:created>
  <dcterms:modified xsi:type="dcterms:W3CDTF">2018-04-02T14:47:19Z</dcterms:modified>
</cp:coreProperties>
</file>